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6TcR0zztAg4O0IuemXYyCSab5DpaPlWRFGxMmUh0raxD3Jvp3/N52jMoFFONByq/NgLO87ZMizJ51xQqJbfn0A==" workbookSaltValue="10g8YpvmklmbRAtvvMhz3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C12" i="14" l="1"/>
  <c r="K12" i="14" s="1"/>
  <c r="C10" i="14"/>
  <c r="K10" i="14" s="1"/>
  <c r="BD9" i="8"/>
  <c r="H17" i="2"/>
  <c r="T9" i="11"/>
  <c r="R8" i="9"/>
  <c r="X13" i="20"/>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BH9" i="16"/>
  <c r="BJ17" i="11"/>
  <c r="V17" i="16"/>
  <c r="BH9" i="11"/>
  <c r="T17" i="16"/>
  <c r="BW11" i="20"/>
  <c r="BI9" i="11"/>
  <c r="BJ16" i="11"/>
  <c r="AP15" i="20"/>
  <c r="BL17" i="11"/>
  <c r="BU10" i="17"/>
  <c r="BH11" i="11"/>
  <c r="T11" i="11"/>
  <c r="R17" i="14"/>
  <c r="S16" i="14"/>
  <c r="V16" i="14" s="1"/>
  <c r="T12" i="11"/>
  <c r="R11" i="14"/>
  <c r="S12" i="14"/>
  <c r="V12" i="14" s="1"/>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<sst xmlns="http://schemas.openxmlformats.org/spreadsheetml/2006/main" count="2066" uniqueCount="903">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</sst>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1</v>
      </c>
    </row>
    <row r="5" spans="1:19" ht="15.75" thickBot="1">
      <c r="A5" s="377" t="s">
        <v>37</v>
      </c>
      <c r="B5" s="378">
        <v>2023</v>
      </c>
      <c r="C5" s="379" t="s">
        <v>214</v>
      </c>
      <c r="D5" s="380">
        <v>2</v>
      </c>
      <c r="E5" s="381"/>
      <c r="F5" s="3"/>
      <c r="H5" t="s">
        <v>424</v>
      </c>
      <c r="Q5" s="355">
        <v>3</v>
      </c>
      <c r="R5" s="355">
        <v>2</v>
      </c>
      <c r="S5" t="b">
        <f>AND(Q5&gt;=TrimIni,Q5&lt;=TrimFin)</f>
        <v>0</v>
      </c>
    </row>
    <row r="6" spans="1:19" ht="15">
      <c r="A6" s="382"/>
      <c r="B6" s="381"/>
      <c r="C6" s="379" t="s">
        <v>215</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fApVaOgtPVY6XNIL6fQL/gSWBIXAQs3WlzcqNKd2vxkd04VXqIIM63/QYXyjUibFYemZFD7fyVgCfNbq8Oblg==" saltValue="buCzTZTZBlxaLw5PlHy5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GALICIA</v>
      </c>
      <c r="C4" s="1243"/>
      <c r="D4" s="1243"/>
      <c r="E4" s="1244"/>
      <c r="F4" s="1243"/>
      <c r="G4" s="590"/>
      <c r="H4" s="1506" t="s">
        <v>360</v>
      </c>
      <c r="I4" s="1507"/>
      <c r="J4" s="1507"/>
      <c r="K4" s="1507"/>
      <c r="L4" s="1507"/>
      <c r="M4" s="1245"/>
      <c r="N4" s="1506" t="s">
        <v>361</v>
      </c>
      <c r="O4" s="1507"/>
      <c r="P4" s="1507"/>
      <c r="Q4" s="1507"/>
      <c r="R4" s="1507"/>
      <c r="S4" s="1507"/>
      <c r="T4" s="1507"/>
      <c r="U4" s="1507"/>
      <c r="V4" s="1507"/>
      <c r="W4" s="1507"/>
      <c r="X4" s="1507"/>
      <c r="Y4" s="1507"/>
      <c r="Z4" s="1507"/>
      <c r="AA4" s="1507"/>
      <c r="AB4" s="1507"/>
      <c r="AC4" s="1507"/>
      <c r="AD4" s="1508"/>
    </row>
    <row r="5" spans="1:31" s="488" customFormat="1" ht="15.75" customHeight="1">
      <c r="A5" s="1490" t="s">
        <v>350</v>
      </c>
      <c r="B5" s="1492" t="str">
        <f>"Año:  " &amp;Criterios!B5 &amp; "      Trimestre   " &amp;Criterios!D5 &amp; " al " &amp;Criterios!D6</f>
        <v>Año:  2023      Trimestre   2 al 2</v>
      </c>
      <c r="C5" s="1480" t="s">
        <v>260</v>
      </c>
      <c r="D5" s="1482" t="s">
        <v>128</v>
      </c>
      <c r="E5" s="1482" t="s">
        <v>92</v>
      </c>
      <c r="F5" s="1486" t="s">
        <v>9</v>
      </c>
      <c r="G5" s="1485"/>
      <c r="H5" s="1509" t="s">
        <v>355</v>
      </c>
      <c r="I5" s="1488" t="s">
        <v>357</v>
      </c>
      <c r="J5" s="1509" t="s">
        <v>356</v>
      </c>
      <c r="K5" s="1484" t="s">
        <v>301</v>
      </c>
      <c r="L5" s="1484" t="s">
        <v>358</v>
      </c>
      <c r="M5" s="1484" t="s">
        <v>352</v>
      </c>
      <c r="N5" s="1496"/>
      <c r="O5" s="1497"/>
      <c r="P5" s="531"/>
      <c r="Q5" s="1500" t="s">
        <v>452</v>
      </c>
      <c r="R5" s="1501"/>
      <c r="S5" s="1502"/>
      <c r="T5" s="1512"/>
      <c r="U5" s="1513"/>
      <c r="V5" s="1514"/>
      <c r="W5" s="1500" t="s">
        <v>271</v>
      </c>
      <c r="X5" s="1501"/>
      <c r="Y5" s="1501"/>
      <c r="Z5" s="1502"/>
      <c r="AA5" s="1500" t="s">
        <v>447</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19.122629025143361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98</v>
      </c>
      <c r="D10" s="229">
        <f>IF(ISNUMBER(Datos!I10),Datos!I10," - ")</f>
        <v>98</v>
      </c>
      <c r="E10" s="230">
        <f>IF(ISNUMBER(Datos!J10),Datos!J10," - ")</f>
        <v>13</v>
      </c>
      <c r="F10" s="230">
        <f>IF(ISNUMBER(Datos!K10),Datos!K10," - ")</f>
        <v>27</v>
      </c>
      <c r="G10" s="1189" t="str">
        <f>IF(Datos!E10&lt;&gt;"",Datos!E10,Datos!D10)</f>
        <v>37</v>
      </c>
      <c r="H10" s="231">
        <f>IF(ISNUMBER(Datos!L10),Datos!L10," - ")</f>
        <v>84</v>
      </c>
      <c r="I10" s="1199" t="str">
        <f>IF(ISNUMBER(Datos!AS10/Datos!BM10),Datos!AS10/Datos!BM10," - ")</f>
        <v xml:space="preserve"> - </v>
      </c>
      <c r="J10" s="1200">
        <f>IF(ISNUMBER(Datos!BY10/Datos!CN10),Datos!BY10/Datos!CN10," - ")</f>
        <v>0</v>
      </c>
      <c r="K10" s="234">
        <f t="shared" ref="K10:K12" si="1">IF(ISNUMBER((E10-F10)/C10),(E10-F10)/C10," - ")</f>
        <v>-0.14285714285714285</v>
      </c>
      <c r="L10" s="1201">
        <f>IF(ISNUMBER(NºAsuntos!I10/NºAsuntos!G10),(NºAsuntos!I10/NºAsuntos!G10)*11," - ")</f>
        <v>34.222222222222221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10.616279069767442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98</v>
      </c>
      <c r="D13" s="1206">
        <f>SUBTOTAL(9,D9:D12)</f>
        <v>98</v>
      </c>
      <c r="E13" s="1207">
        <f>SUBTOTAL(9,E9:E12)</f>
        <v>13</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2127</v>
      </c>
      <c r="D15" s="229">
        <f>IF(ISNUMBER(IF(D_I="SI",Datos!I15,Datos!I15+Datos!AC15)),IF(D_I="SI",Datos!I15,Datos!I15+Datos!AC15)," - ")</f>
        <v>2127</v>
      </c>
      <c r="E15" s="230">
        <f>IF(ISNUMBER(IF(D_I="SI",Datos!J15,Datos!J15+Datos!AD15)),IF(D_I="SI",Datos!J15,Datos!J15+Datos!AD15)," - ")</f>
        <v>1334</v>
      </c>
      <c r="F15" s="230">
        <f>IF(ISNUMBER(IF(D_I="SI",Datos!K15,Datos!K15+Datos!AE15)),IF(D_I="SI",Datos!K15,Datos!K15+Datos!AE15)," - ")</f>
        <v>1249</v>
      </c>
      <c r="G15" s="1189" t="str">
        <f>IF(Datos!E15&lt;&gt;"",Datos!E15,Datos!D15)</f>
        <v>03</v>
      </c>
      <c r="H15" s="231">
        <f>IF(ISNUMBER(IF(D_I="SI",Datos!L15,Datos!L15+Datos!AF15)),IF(D_I="SI",Datos!L15,Datos!L15+Datos!AF15)," - ")</f>
        <v>2212</v>
      </c>
      <c r="I15" s="1199" t="str">
        <f>IF(ISNUMBER(Datos!AS15/Datos!BM15),Datos!AS15/Datos!BM15," - ")</f>
        <v xml:space="preserve"> - </v>
      </c>
      <c r="J15" s="1200">
        <f>IF(ISNUMBER(Datos!BY15/Datos!CN15),Datos!BY15/Datos!CN15," - ")</f>
        <v>0</v>
      </c>
      <c r="K15" s="234">
        <f t="shared" ref="K15:K17" si="3">IF(ISNUMBER((E15-F15)/C15),(E15-F15)/C15," - ")</f>
        <v>3.996238834038552E-2</v>
      </c>
      <c r="L15" s="1201">
        <f>IF(ISNUMBER(NºAsuntos!I15/NºAsuntos!G15),(NºAsuntos!I15/NºAsuntos!G15)*11," - ")</f>
        <v>19.481184947958369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183</v>
      </c>
      <c r="D17" s="229">
        <f>IF(ISNUMBER(IF(D_I="SI",Datos!I17,Datos!I17+Datos!AC17)),IF(D_I="SI",Datos!I17,Datos!I17+Datos!AC17)," - ")</f>
        <v>183</v>
      </c>
      <c r="E17" s="230">
        <f>IF(ISNUMBER(IF(D_I="SI",Datos!J17,Datos!J17+Datos!AD17)),IF(D_I="SI",Datos!J17,Datos!J17+Datos!AD17)," - ")</f>
        <v>101</v>
      </c>
      <c r="F17" s="230">
        <f>IF(ISNUMBER(IF(D_I="SI",Datos!K17,Datos!K17+Datos!AE17)),IF(D_I="SI",Datos!K17,Datos!K17+Datos!AE17)," - ")</f>
        <v>120</v>
      </c>
      <c r="G17" s="1189" t="str">
        <f>IF(Datos!E17&lt;&gt;"",Datos!E17,Datos!D17)</f>
        <v>37</v>
      </c>
      <c r="H17" s="231">
        <f>IF(ISNUMBER(IF(D_I="SI",Datos!L17,Datos!L17+Datos!AF17)),IF(D_I="SI",Datos!L17,Datos!L17+Datos!AF17)," - ")</f>
        <v>164</v>
      </c>
      <c r="I17" s="1199" t="str">
        <f>IF(ISNUMBER(Datos!AS17/Datos!BM17),Datos!AS17/Datos!BM17," - ")</f>
        <v xml:space="preserve"> - </v>
      </c>
      <c r="J17" s="1200" t="str">
        <f>IF(ISNUMBER((Datos!BY17+Datos!BZ17)/Datos!CN17),(Datos!BY17+Datos!BZ17)/Datos!CN17," - ")</f>
        <v xml:space="preserve"> - </v>
      </c>
      <c r="K17" s="234">
        <f t="shared" si="3"/>
        <v>-0.10382513661202186</v>
      </c>
      <c r="L17" s="1201">
        <f>IF(ISNUMBER(NºAsuntos!I17/NºAsuntos!G17),(NºAsuntos!I17/NºAsuntos!G17)*11," - ")</f>
        <v>15.033333333333333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2310</v>
      </c>
      <c r="D18" s="1206">
        <f>SUBTOTAL(9,D15:D17)</f>
        <v>2310</v>
      </c>
      <c r="E18" s="1207">
        <f>SUBTOTAL(9,E15:E17)</f>
        <v>1435</v>
      </c>
      <c r="F18" s="1207">
        <f>SUBTOTAL(9,F15:F17)</f>
        <v>1369</v>
      </c>
      <c r="G18" s="1209" t="str">
        <f ca="1">INDIRECT(CONCATENATE("G",ROW()-1))</f>
        <v>37</v>
      </c>
      <c r="H18" s="1210">
        <f ca="1">SUMIF(G$14:G17,G18,H$14:H17)</f>
        <v>164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2408</v>
      </c>
      <c r="D19" s="1228">
        <f>SUBTOTAL(9,D9:D18)</f>
        <v>2408</v>
      </c>
      <c r="E19" s="1229">
        <f>SUBTOTAL(9,E9:E18)</f>
        <v>1448</v>
      </c>
      <c r="F19" s="1229">
        <f>SUBTOTAL(9,F9:F18)</f>
        <v>1396</v>
      </c>
      <c r="G19" s="1230"/>
      <c r="H19" s="1231">
        <f ca="1">SUMIF(B9:B18,"TOTAL",H9:H18)</f>
        <v>164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634</v>
      </c>
      <c r="O25" s="1518"/>
      <c r="P25" s="1518"/>
      <c r="Q25" s="1518"/>
      <c r="R25" s="1518"/>
      <c r="S25" s="1518"/>
      <c r="T25" s="1518"/>
      <c r="U25" s="1518"/>
      <c r="V25" s="1518"/>
      <c r="W25" s="1518"/>
      <c r="Y25" s="1518" t="s">
        <v>635</v>
      </c>
      <c r="Z25" s="1518"/>
      <c r="AA25" s="1518"/>
      <c r="AB25" s="1518"/>
      <c r="AC25" s="1518"/>
    </row>
    <row r="27" spans="1:31">
      <c r="N27" s="1185" t="s">
        <v>636</v>
      </c>
      <c r="O27" s="1519" t="s">
        <v>637</v>
      </c>
      <c r="P27" s="1519"/>
      <c r="Q27" s="1519"/>
      <c r="R27" s="1519"/>
      <c r="S27" s="1519"/>
      <c r="T27" s="1519"/>
      <c r="U27" s="1519"/>
      <c r="V27" s="1519"/>
      <c r="W27" s="1519"/>
      <c r="Y27" s="1185" t="s">
        <v>636</v>
      </c>
      <c r="Z27" s="1520" t="s">
        <v>638</v>
      </c>
      <c r="AA27" s="1520"/>
      <c r="AB27" s="1520"/>
      <c r="AC27" s="1520"/>
    </row>
    <row r="28" spans="1:31">
      <c r="N28" s="1185" t="s">
        <v>639</v>
      </c>
      <c r="O28" s="1519" t="s">
        <v>640</v>
      </c>
      <c r="P28" s="1519"/>
      <c r="Q28" s="1519"/>
      <c r="R28" s="1519"/>
      <c r="S28" s="1519"/>
      <c r="T28" s="1519"/>
      <c r="U28" s="1519"/>
      <c r="V28" s="1519"/>
      <c r="W28" s="1519"/>
      <c r="Y28" s="1185" t="s">
        <v>639</v>
      </c>
      <c r="Z28" s="1520" t="s">
        <v>641</v>
      </c>
      <c r="AA28" s="1520"/>
      <c r="AB28" s="1520"/>
      <c r="AC28" s="1520"/>
    </row>
    <row r="29" spans="1:31">
      <c r="N29" s="1185" t="s">
        <v>642</v>
      </c>
      <c r="O29" s="1519" t="s">
        <v>643</v>
      </c>
      <c r="P29" s="1519"/>
      <c r="Q29" s="1519"/>
      <c r="R29" s="1519"/>
      <c r="S29" s="1519"/>
      <c r="T29" s="1519"/>
      <c r="U29" s="1519"/>
      <c r="V29" s="1519"/>
      <c r="W29" s="1519"/>
      <c r="Y29" s="1185" t="s">
        <v>644</v>
      </c>
      <c r="Z29" s="1520" t="s">
        <v>645</v>
      </c>
      <c r="AA29" s="1520"/>
      <c r="AB29" s="1520"/>
      <c r="AC29" s="1520"/>
    </row>
    <row r="30" spans="1:31">
      <c r="N30" s="1185" t="s">
        <v>646</v>
      </c>
      <c r="O30" s="1519" t="s">
        <v>647</v>
      </c>
      <c r="P30" s="1519"/>
      <c r="Q30" s="1519"/>
      <c r="R30" s="1519"/>
      <c r="S30" s="1519"/>
      <c r="T30" s="1519"/>
      <c r="U30" s="1519"/>
      <c r="V30" s="1519"/>
      <c r="W30" s="1519"/>
      <c r="Y30" s="1185" t="s">
        <v>648</v>
      </c>
      <c r="Z30" s="1520" t="s">
        <v>649</v>
      </c>
      <c r="AA30" s="1520"/>
      <c r="AB30" s="1520"/>
      <c r="AC30" s="1520"/>
    </row>
    <row r="31" spans="1:31">
      <c r="N31" s="1185" t="s">
        <v>734</v>
      </c>
      <c r="O31" s="1519" t="s">
        <v>735</v>
      </c>
      <c r="P31" s="1519"/>
      <c r="Q31" s="1519"/>
      <c r="R31" s="1519"/>
      <c r="S31" s="1519"/>
      <c r="T31" s="1519"/>
      <c r="U31" s="1519"/>
      <c r="V31" s="1519"/>
      <c r="W31" s="1519"/>
      <c r="Y31" s="1185" t="s">
        <v>642</v>
      </c>
      <c r="Z31" s="1520" t="s">
        <v>643</v>
      </c>
      <c r="AA31" s="1520"/>
      <c r="AB31" s="1520"/>
      <c r="AC31" s="1520"/>
    </row>
    <row r="32" spans="1:31">
      <c r="N32" s="1185" t="s">
        <v>650</v>
      </c>
      <c r="O32" s="1519" t="s">
        <v>651</v>
      </c>
      <c r="P32" s="1519"/>
      <c r="Q32" s="1519"/>
      <c r="R32" s="1519"/>
      <c r="S32" s="1519"/>
      <c r="T32" s="1519"/>
      <c r="U32" s="1519"/>
      <c r="V32" s="1519"/>
      <c r="W32" s="1519"/>
      <c r="Y32" s="1185" t="s">
        <v>646</v>
      </c>
      <c r="Z32" s="1520" t="s">
        <v>647</v>
      </c>
      <c r="AA32" s="1520"/>
      <c r="AB32" s="1520"/>
      <c r="AC32" s="1520"/>
    </row>
    <row r="33" spans="14:29">
      <c r="N33" s="1185" t="s">
        <v>652</v>
      </c>
      <c r="O33" s="1519" t="s">
        <v>653</v>
      </c>
      <c r="P33" s="1519"/>
      <c r="Q33" s="1519"/>
      <c r="R33" s="1519"/>
      <c r="S33" s="1519"/>
      <c r="T33" s="1519"/>
      <c r="U33" s="1519"/>
      <c r="V33" s="1519"/>
      <c r="W33" s="1519"/>
      <c r="Y33" s="1185" t="s">
        <v>655</v>
      </c>
      <c r="Z33" s="1520" t="s">
        <v>656</v>
      </c>
      <c r="AA33" s="1520"/>
      <c r="AB33" s="1520"/>
      <c r="AC33" s="1520"/>
    </row>
    <row r="34" spans="14:29">
      <c r="N34" s="1185" t="s">
        <v>644</v>
      </c>
      <c r="O34" s="1519" t="s">
        <v>654</v>
      </c>
      <c r="P34" s="1519"/>
      <c r="Q34" s="1519"/>
      <c r="R34" s="1519"/>
      <c r="S34" s="1519"/>
      <c r="T34" s="1519"/>
      <c r="U34" s="1519"/>
      <c r="V34" s="1519"/>
      <c r="W34" s="1519"/>
      <c r="Y34" s="1185" t="s">
        <v>658</v>
      </c>
      <c r="Z34" s="1520" t="s">
        <v>659</v>
      </c>
      <c r="AA34" s="1520"/>
      <c r="AB34" s="1520"/>
      <c r="AC34" s="1520"/>
    </row>
    <row r="35" spans="14:29">
      <c r="N35" s="1185" t="s">
        <v>648</v>
      </c>
      <c r="O35" s="1519" t="s">
        <v>657</v>
      </c>
      <c r="P35" s="1519"/>
      <c r="Q35" s="1519"/>
      <c r="R35" s="1519"/>
      <c r="S35" s="1519"/>
      <c r="T35" s="1519"/>
      <c r="U35" s="1519"/>
      <c r="V35" s="1519"/>
      <c r="W35" s="1519"/>
      <c r="Y35" s="1186" t="s">
        <v>661</v>
      </c>
      <c r="Z35" s="1521" t="s">
        <v>662</v>
      </c>
      <c r="AA35" s="1521"/>
      <c r="AB35" s="1521"/>
      <c r="AC35" s="1521"/>
    </row>
    <row r="36" spans="14:29">
      <c r="N36" s="1185" t="s">
        <v>655</v>
      </c>
      <c r="O36" s="1519" t="s">
        <v>660</v>
      </c>
      <c r="P36" s="1519"/>
      <c r="Q36" s="1519"/>
      <c r="R36" s="1519"/>
      <c r="S36" s="1519"/>
      <c r="T36" s="1519"/>
      <c r="U36" s="1519"/>
      <c r="V36" s="1519"/>
      <c r="W36" s="1519"/>
      <c r="Y36" s="1185" t="s">
        <v>650</v>
      </c>
      <c r="Z36" s="1520" t="s">
        <v>651</v>
      </c>
      <c r="AA36" s="1520"/>
      <c r="AB36" s="1520"/>
      <c r="AC36" s="1520"/>
    </row>
    <row r="37" spans="14:29">
      <c r="N37" s="1185" t="s">
        <v>663</v>
      </c>
      <c r="O37" s="1519" t="s">
        <v>664</v>
      </c>
      <c r="P37" s="1519"/>
      <c r="Q37" s="1519"/>
      <c r="R37" s="1519"/>
      <c r="S37" s="1519"/>
      <c r="T37" s="1519"/>
      <c r="U37" s="1519"/>
      <c r="V37" s="1519"/>
      <c r="W37" s="1519"/>
      <c r="Y37" s="1187" t="s">
        <v>652</v>
      </c>
      <c r="Z37" s="1523" t="s">
        <v>653</v>
      </c>
      <c r="AA37" s="1523"/>
      <c r="AB37" s="1523"/>
      <c r="AC37" s="1523"/>
    </row>
    <row r="38" spans="14:29">
      <c r="N38" s="1185" t="s">
        <v>658</v>
      </c>
      <c r="O38" s="1519" t="s">
        <v>665</v>
      </c>
      <c r="P38" s="1519"/>
      <c r="Q38" s="1519"/>
      <c r="R38" s="1519"/>
      <c r="S38" s="1519"/>
      <c r="T38" s="1519"/>
      <c r="U38" s="1519"/>
      <c r="V38" s="1519"/>
      <c r="W38" s="1519"/>
    </row>
    <row r="39" spans="14:29">
      <c r="N39" s="1187" t="s">
        <v>661</v>
      </c>
      <c r="O39" s="1522" t="s">
        <v>666</v>
      </c>
      <c r="P39" s="1522"/>
      <c r="Q39" s="1522"/>
      <c r="R39" s="1522"/>
      <c r="S39" s="1522"/>
      <c r="T39" s="1522"/>
      <c r="U39" s="1522"/>
      <c r="V39" s="1522"/>
      <c r="W39" s="1522"/>
    </row>
  </sheetData>
  <sheetProtection algorithmName="SHA-512" hashValue="7cbd+v2ZPhAygITepe9m9VTrC5mHzIfUUiVdwBy3EcwKf4vVrixrNxC29kXJ+GnfTD5Y9rmcNmDwAQI/OZ1zEw==" saltValue="Bfpz6BfIOasKJ/c7gm2XS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0TNO+KXgzXNdj53xJ2HjrxtCYp5QlW13xZIHr4wBt6jDU1aJLUlwQasJ3i4po7W+pQt+D9RFSUAlV4GkCAWRpQ==" saltValue="BpVh0rLx+MkPOHrbB5nl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c r="BO5" s="1461"/>
      <c r="BP5" s="1460"/>
      <c r="BQ5" s="1461"/>
      <c r="BR5" s="1460"/>
      <c r="BS5" s="1461"/>
      <c r="BT5" s="1460"/>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755</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v>3307</v>
      </c>
      <c r="J9" s="185">
        <v>2597</v>
      </c>
      <c r="K9" s="185">
        <v>2066</v>
      </c>
      <c r="L9" s="185">
        <v>3841</v>
      </c>
      <c r="M9" s="185">
        <v>641</v>
      </c>
      <c r="N9" s="185">
        <v>829</v>
      </c>
      <c r="O9" s="185">
        <v>1010</v>
      </c>
      <c r="P9" s="185">
        <v>601</v>
      </c>
      <c r="Q9" s="185">
        <v>560</v>
      </c>
      <c r="R9" s="185">
        <v>4802</v>
      </c>
      <c r="S9" s="185">
        <v>3583</v>
      </c>
      <c r="T9" s="185">
        <v>1938</v>
      </c>
      <c r="U9" s="185">
        <v>1888</v>
      </c>
      <c r="V9" s="185">
        <v>3642</v>
      </c>
      <c r="W9" s="185">
        <v>625</v>
      </c>
      <c r="X9" s="192">
        <v>808</v>
      </c>
      <c r="Y9" s="195">
        <v>134</v>
      </c>
      <c r="Z9" s="185">
        <v>167</v>
      </c>
      <c r="AA9" s="185">
        <v>201</v>
      </c>
      <c r="AB9" s="185">
        <v>100</v>
      </c>
      <c r="AC9" s="185">
        <v>0</v>
      </c>
      <c r="AD9" s="185">
        <v>0</v>
      </c>
      <c r="AE9" s="185">
        <v>0</v>
      </c>
      <c r="AF9" s="192">
        <v>0</v>
      </c>
      <c r="AG9" s="195">
        <v>199</v>
      </c>
      <c r="AH9" s="185">
        <v>330</v>
      </c>
      <c r="AI9" s="185">
        <v>333</v>
      </c>
      <c r="AJ9" s="196">
        <v>198</v>
      </c>
      <c r="AK9" s="184">
        <v>0</v>
      </c>
      <c r="AL9" s="185">
        <v>0</v>
      </c>
      <c r="AM9" s="185">
        <v>0</v>
      </c>
      <c r="AN9" s="192">
        <v>0</v>
      </c>
      <c r="AO9" s="262">
        <v>5</v>
      </c>
      <c r="AP9" s="158">
        <v>5</v>
      </c>
      <c r="AQ9" s="158">
        <v>5</v>
      </c>
      <c r="AR9" s="197">
        <v>5</v>
      </c>
      <c r="AS9" s="347" t="s">
        <v>803</v>
      </c>
      <c r="AT9" s="199"/>
      <c r="AU9" s="198"/>
      <c r="AV9" s="199"/>
      <c r="AW9" s="198"/>
      <c r="AX9" s="199"/>
      <c r="AY9" s="124">
        <f>IF(ISNUMBER(IF(J_V="SI",S9,S9+AG9)),IF(J_V="SI",S9,S9+AG9)," - ")</f>
        <v>3782</v>
      </c>
      <c r="AZ9" s="124">
        <f>IF(ISNUMBER(IF(J_V="SI",T9,T9+AH9)),IF(J_V="SI",T9,T9+AH9)," - ")</f>
        <v>2268</v>
      </c>
      <c r="BA9" s="125">
        <f>IF(ISNUMBER(IF(J_V="SI",U9,U9+AI9)),IF(J_V="SI",U9,U9+AI9)," - ")</f>
        <v>2221</v>
      </c>
      <c r="BB9" s="125">
        <f>IF(ISNUMBER(IF(J_V="SI",V9,V9+AJ9)),IF(J_V="SI",V9,V9+AJ9)," - ")</f>
        <v>3840</v>
      </c>
      <c r="BC9" s="126">
        <f>IF(ISNUMBER(X9),X9," - ")</f>
        <v>808</v>
      </c>
      <c r="BD9" s="127">
        <f>IF(ISNUMBER(BA9/AZ9),BA9/AZ9," - ")</f>
        <v>0.9792768959435626</v>
      </c>
      <c r="BE9" s="128">
        <f>IF(ISNUMBER(BB9/BA9),BB9/BA9, " - ")</f>
        <v>1.7289509230076543</v>
      </c>
      <c r="BF9" s="128">
        <f>IF(ISNUMBER(BC9/BA9),BC9/BA9, " - ")</f>
        <v>0.36380009004952724</v>
      </c>
      <c r="BG9" s="200">
        <f>IF(ISNUMBER((AY9+AZ9)/BA9),(AY9+AZ9)/BA9," - ")</f>
        <v>2.7239981990094551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890</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98</v>
      </c>
      <c r="J10" s="185">
        <v>13</v>
      </c>
      <c r="K10" s="185">
        <v>27</v>
      </c>
      <c r="L10" s="185">
        <v>84</v>
      </c>
      <c r="M10" s="185">
        <v>27</v>
      </c>
      <c r="N10" s="185">
        <v>0</v>
      </c>
      <c r="O10" s="185">
        <v>0</v>
      </c>
      <c r="P10" s="185">
        <v>5</v>
      </c>
      <c r="Q10" s="185">
        <v>0</v>
      </c>
      <c r="R10" s="185">
        <v>91</v>
      </c>
      <c r="S10" s="185">
        <v>88</v>
      </c>
      <c r="T10" s="185">
        <v>25</v>
      </c>
      <c r="U10" s="185">
        <v>30</v>
      </c>
      <c r="V10" s="185">
        <v>83</v>
      </c>
      <c r="W10" s="185">
        <v>17</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797</v>
      </c>
      <c r="AT10" s="196"/>
      <c r="AU10" s="204"/>
      <c r="AV10" s="196"/>
      <c r="AW10" s="204"/>
      <c r="AX10" s="196"/>
      <c r="AY10" s="129">
        <f t="shared" ref="AY10:BC10" si="0">IF(ISNUMBER(S10),S10," - ")</f>
        <v>88</v>
      </c>
      <c r="AZ10" s="130">
        <f t="shared" si="0"/>
        <v>25</v>
      </c>
      <c r="BA10" s="130">
        <f t="shared" si="0"/>
        <v>30</v>
      </c>
      <c r="BB10" s="130">
        <f t="shared" si="0"/>
        <v>83</v>
      </c>
      <c r="BC10" s="126">
        <f t="shared" si="0"/>
        <v>17</v>
      </c>
      <c r="BD10" s="127">
        <f>IF(ISNUMBER(BA10/AZ10),BA10/AZ10," - ")</f>
        <v>1.2</v>
      </c>
      <c r="BE10" s="128">
        <f>IF(ISNUMBER(BB10/BA10),BB10/BA10, " - ")</f>
        <v>2.7666666666666666</v>
      </c>
      <c r="BF10" s="128">
        <f>IF(ISNUMBER(BC10/BA10),BC10/BA10, " - ")</f>
        <v>0.56666666666666665</v>
      </c>
      <c r="BG10" s="200">
        <f>IF(ISNUMBER((AY10+AZ10)/BA10),(AY10+AZ10)/BA10," - ")</f>
        <v>3.7666666666666666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121</v>
      </c>
      <c r="J11" s="187">
        <v>215</v>
      </c>
      <c r="K11" s="187">
        <v>143</v>
      </c>
      <c r="L11" s="187">
        <v>193</v>
      </c>
      <c r="M11" s="187">
        <v>44</v>
      </c>
      <c r="N11" s="187">
        <v>147</v>
      </c>
      <c r="O11" s="185">
        <v>43</v>
      </c>
      <c r="P11" s="187">
        <v>4</v>
      </c>
      <c r="Q11" s="187">
        <v>0</v>
      </c>
      <c r="R11" s="187">
        <v>4</v>
      </c>
      <c r="S11" s="187">
        <v>0</v>
      </c>
      <c r="T11" s="187">
        <v>0</v>
      </c>
      <c r="U11" s="187">
        <v>0</v>
      </c>
      <c r="V11" s="187">
        <v>0</v>
      </c>
      <c r="W11" s="187">
        <v>0</v>
      </c>
      <c r="X11" s="193">
        <v>0</v>
      </c>
      <c r="Y11" s="195">
        <v>20</v>
      </c>
      <c r="Z11" s="185">
        <v>151</v>
      </c>
      <c r="AA11" s="185">
        <v>115</v>
      </c>
      <c r="AB11" s="185">
        <v>56</v>
      </c>
      <c r="AC11" s="187">
        <v>0</v>
      </c>
      <c r="AD11" s="187">
        <v>0</v>
      </c>
      <c r="AE11" s="187">
        <v>0</v>
      </c>
      <c r="AF11" s="193">
        <v>0</v>
      </c>
      <c r="AG11" s="206">
        <v>0</v>
      </c>
      <c r="AH11" s="187">
        <v>0</v>
      </c>
      <c r="AI11" s="187">
        <v>0</v>
      </c>
      <c r="AJ11" s="207">
        <v>0</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0</v>
      </c>
      <c r="AZ11" s="128">
        <f t="shared" si="1"/>
        <v>0</v>
      </c>
      <c r="BA11" s="128">
        <f t="shared" si="1"/>
        <v>0</v>
      </c>
      <c r="BB11" s="128">
        <f t="shared" si="1"/>
        <v>0</v>
      </c>
      <c r="BC11" s="126">
        <f>IF(ISNUMBER(X11),X11," - ")</f>
        <v>0</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891</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3</v>
      </c>
      <c r="J12" s="187">
        <v>0</v>
      </c>
      <c r="K12" s="187">
        <v>0</v>
      </c>
      <c r="L12" s="187">
        <v>3</v>
      </c>
      <c r="M12" s="187">
        <v>0</v>
      </c>
      <c r="N12" s="187">
        <v>14</v>
      </c>
      <c r="O12" s="185">
        <v>2</v>
      </c>
      <c r="P12" s="187">
        <v>1</v>
      </c>
      <c r="Q12" s="187">
        <v>7</v>
      </c>
      <c r="R12" s="187">
        <v>392</v>
      </c>
      <c r="S12" s="187">
        <v>3</v>
      </c>
      <c r="T12" s="187">
        <v>5</v>
      </c>
      <c r="U12" s="187">
        <v>0</v>
      </c>
      <c r="V12" s="187">
        <v>8</v>
      </c>
      <c r="W12" s="187">
        <v>0</v>
      </c>
      <c r="X12" s="193">
        <v>2</v>
      </c>
      <c r="Y12" s="195">
        <v>0</v>
      </c>
      <c r="Z12" s="185">
        <v>1</v>
      </c>
      <c r="AA12" s="185">
        <v>1</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3</v>
      </c>
      <c r="AZ12" s="128">
        <f t="shared" si="1"/>
        <v>5</v>
      </c>
      <c r="BA12" s="128">
        <f t="shared" si="1"/>
        <v>0</v>
      </c>
      <c r="BB12" s="128">
        <f t="shared" si="1"/>
        <v>8</v>
      </c>
      <c r="BC12" s="126">
        <f>IF(ISNUMBER(X12),X12," - ")</f>
        <v>2</v>
      </c>
      <c r="BD12" s="127">
        <f t="shared" si="2"/>
        <v>0</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892</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3529</v>
      </c>
      <c r="J13" s="188">
        <f t="shared" si="6"/>
        <v>2825</v>
      </c>
      <c r="K13" s="188">
        <f t="shared" si="6"/>
        <v>2236</v>
      </c>
      <c r="L13" s="188">
        <f t="shared" si="6"/>
        <v>4121</v>
      </c>
      <c r="M13" s="188">
        <f t="shared" si="6"/>
        <v>712</v>
      </c>
      <c r="N13" s="188">
        <f t="shared" si="6"/>
        <v>990</v>
      </c>
      <c r="O13" s="188">
        <f t="shared" si="6"/>
        <v>1055</v>
      </c>
      <c r="P13" s="188">
        <f t="shared" si="6"/>
        <v>611</v>
      </c>
      <c r="Q13" s="188">
        <f t="shared" si="6"/>
        <v>567</v>
      </c>
      <c r="R13" s="188">
        <f t="shared" si="6"/>
        <v>5289</v>
      </c>
      <c r="S13" s="188">
        <f t="shared" si="6"/>
        <v>3674</v>
      </c>
      <c r="T13" s="188">
        <f t="shared" si="6"/>
        <v>1968</v>
      </c>
      <c r="U13" s="188">
        <f t="shared" si="6"/>
        <v>1918</v>
      </c>
      <c r="V13" s="188">
        <f t="shared" si="6"/>
        <v>3733</v>
      </c>
      <c r="W13" s="188">
        <f t="shared" si="6"/>
        <v>642</v>
      </c>
      <c r="X13" s="188">
        <f t="shared" si="6"/>
        <v>820</v>
      </c>
      <c r="Y13" s="188">
        <f t="shared" si="6"/>
        <v>154</v>
      </c>
      <c r="Z13" s="188">
        <f t="shared" si="6"/>
        <v>319</v>
      </c>
      <c r="AA13" s="188">
        <f t="shared" si="6"/>
        <v>317</v>
      </c>
      <c r="AB13" s="188">
        <f t="shared" si="6"/>
        <v>156</v>
      </c>
      <c r="AC13" s="188">
        <f t="shared" si="6"/>
        <v>0</v>
      </c>
      <c r="AD13" s="188">
        <f t="shared" si="6"/>
        <v>0</v>
      </c>
      <c r="AE13" s="188">
        <f t="shared" si="6"/>
        <v>0</v>
      </c>
      <c r="AF13" s="188">
        <f>SUBTOTAL(9,AF9:AF12)</f>
        <v>0</v>
      </c>
      <c r="AG13" s="188">
        <f t="shared" ref="AG13:AT13" si="7">SUBTOTAL(9,AG8:AG12)</f>
        <v>199</v>
      </c>
      <c r="AH13" s="188">
        <f t="shared" si="7"/>
        <v>330</v>
      </c>
      <c r="AI13" s="188">
        <f t="shared" si="7"/>
        <v>333</v>
      </c>
      <c r="AJ13" s="188">
        <f t="shared" si="7"/>
        <v>198</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3873</v>
      </c>
      <c r="AZ13" s="188">
        <f>SUBTOTAL(9,AZ8:AZ12)</f>
        <v>2298</v>
      </c>
      <c r="BA13" s="188">
        <f>SUBTOTAL(9,BA8:BA12)</f>
        <v>2251</v>
      </c>
      <c r="BB13" s="188">
        <f>SUBTOTAL(9,BB8:BB12)</f>
        <v>3931</v>
      </c>
      <c r="BC13" s="188">
        <f>SUBTOTAL(9,BC8:BC12)</f>
        <v>827</v>
      </c>
      <c r="BD13" s="209">
        <f>IF(ISNUMBER(BA13/AZ13),BA13/AZ13," - ")</f>
        <v>0.97954743255004351</v>
      </c>
      <c r="BE13" s="210">
        <f>IF(ISNUMBER(BB13/BA13),BB13/BA13, " - ")</f>
        <v>1.746334962239005</v>
      </c>
      <c r="BF13" s="210">
        <f>IF(ISNUMBER(BC13/BA13),BC13/BA13, " - ")</f>
        <v>0.36739227010217679</v>
      </c>
      <c r="BG13" s="211">
        <f>IF(ISNUMBER((AY13+AZ13)/BA13),(AY13+AZ13)/BA13," - ")</f>
        <v>2.7414482452243449</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2127</v>
      </c>
      <c r="J15" s="187">
        <v>1334</v>
      </c>
      <c r="K15" s="187">
        <v>1249</v>
      </c>
      <c r="L15" s="187">
        <v>2212</v>
      </c>
      <c r="M15" s="187">
        <v>194</v>
      </c>
      <c r="N15" s="187">
        <v>600</v>
      </c>
      <c r="O15" s="185">
        <v>23</v>
      </c>
      <c r="P15" s="187">
        <v>45</v>
      </c>
      <c r="Q15" s="187">
        <v>70</v>
      </c>
      <c r="R15" s="187">
        <v>216</v>
      </c>
      <c r="S15" s="187">
        <v>1493</v>
      </c>
      <c r="T15" s="187">
        <v>1302</v>
      </c>
      <c r="U15" s="187">
        <v>1175</v>
      </c>
      <c r="V15" s="187">
        <v>1624</v>
      </c>
      <c r="W15" s="187">
        <v>210</v>
      </c>
      <c r="X15" s="193">
        <v>609</v>
      </c>
      <c r="Y15" s="206">
        <v>0</v>
      </c>
      <c r="Z15" s="187">
        <v>0</v>
      </c>
      <c r="AA15" s="187">
        <v>0</v>
      </c>
      <c r="AB15" s="187">
        <v>0</v>
      </c>
      <c r="AC15" s="187">
        <v>0</v>
      </c>
      <c r="AD15" s="187">
        <v>1</v>
      </c>
      <c r="AE15" s="187">
        <v>1</v>
      </c>
      <c r="AF15" s="193">
        <v>0</v>
      </c>
      <c r="AG15" s="206">
        <v>0</v>
      </c>
      <c r="AH15" s="187">
        <v>0</v>
      </c>
      <c r="AI15" s="187">
        <v>0</v>
      </c>
      <c r="AJ15" s="207">
        <v>0</v>
      </c>
      <c r="AK15" s="186">
        <v>0</v>
      </c>
      <c r="AL15" s="187">
        <v>2</v>
      </c>
      <c r="AM15" s="187">
        <v>2</v>
      </c>
      <c r="AN15" s="193">
        <v>0</v>
      </c>
      <c r="AO15" s="263">
        <v>3</v>
      </c>
      <c r="AP15" s="159">
        <v>3</v>
      </c>
      <c r="AQ15" s="159">
        <v>3</v>
      </c>
      <c r="AR15" s="159">
        <v>3</v>
      </c>
      <c r="AS15" s="349" t="s">
        <v>526</v>
      </c>
      <c r="AT15" s="207" t="s">
        <v>325</v>
      </c>
      <c r="AU15" s="206"/>
      <c r="AV15" s="207"/>
      <c r="AW15" s="206"/>
      <c r="AX15" s="207"/>
      <c r="AY15" s="129">
        <f t="shared" ref="AY15:BB16" si="9">IF(ISNUMBER(IF(D_I="SI",S15,S15+AK15)),IF(D_I="SI",S15,S15+AK15)," - ")</f>
        <v>1493</v>
      </c>
      <c r="AZ15" s="130">
        <f t="shared" si="9"/>
        <v>1302</v>
      </c>
      <c r="BA15" s="130">
        <f t="shared" si="9"/>
        <v>1175</v>
      </c>
      <c r="BB15" s="130">
        <f t="shared" si="9"/>
        <v>1624</v>
      </c>
      <c r="BC15" s="126">
        <f>IF(ISNUMBER(W15),W15," - ")</f>
        <v>210</v>
      </c>
      <c r="BD15" s="127">
        <f>IF(ISNUMBER(BA15/AZ15),BA15/AZ15," - ")</f>
        <v>0.90245775729646693</v>
      </c>
      <c r="BE15" s="128">
        <f>IF(ISNUMBER(BB15/BA15),BB15/BA15, " - ")</f>
        <v>1.382127659574468</v>
      </c>
      <c r="BF15" s="128">
        <f>IF(ISNUMBER(BC15/BA15),BC15/BA15, " - ")</f>
        <v>0.17872340425531916</v>
      </c>
      <c r="BG15" s="200">
        <f t="shared" ref="BG15:BG16" si="10">IF(ISNUMBER((AY15+AZ15)/BA15),(AY15+AZ15)/BA15," - ")</f>
        <v>2.3787234042553194</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183</v>
      </c>
      <c r="J17" s="187">
        <v>101</v>
      </c>
      <c r="K17" s="187">
        <v>120</v>
      </c>
      <c r="L17" s="187">
        <v>164</v>
      </c>
      <c r="M17" s="187">
        <v>1</v>
      </c>
      <c r="N17" s="187">
        <v>70</v>
      </c>
      <c r="O17" s="187">
        <v>0</v>
      </c>
      <c r="P17" s="187">
        <v>0</v>
      </c>
      <c r="Q17" s="187">
        <v>0</v>
      </c>
      <c r="R17" s="187">
        <v>0</v>
      </c>
      <c r="S17" s="187">
        <v>193</v>
      </c>
      <c r="T17" s="187">
        <v>121</v>
      </c>
      <c r="U17" s="187">
        <v>114</v>
      </c>
      <c r="V17" s="187">
        <v>200</v>
      </c>
      <c r="W17" s="187">
        <v>6</v>
      </c>
      <c r="X17" s="193">
        <v>75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796</v>
      </c>
      <c r="AT17" s="213"/>
      <c r="AU17" s="204"/>
      <c r="AV17" s="213"/>
      <c r="AW17" s="204"/>
      <c r="AX17" s="213"/>
      <c r="AY17" s="129">
        <f t="shared" ref="AY17:BB17" si="14">IF(ISNUMBER(S17),S17," - ")</f>
        <v>193</v>
      </c>
      <c r="AZ17" s="130">
        <f t="shared" si="14"/>
        <v>121</v>
      </c>
      <c r="BA17" s="130">
        <f t="shared" si="14"/>
        <v>114</v>
      </c>
      <c r="BB17" s="130">
        <f t="shared" si="14"/>
        <v>200</v>
      </c>
      <c r="BC17" s="126">
        <f>IF(ISNUMBER(W17),W17," - ")</f>
        <v>6</v>
      </c>
      <c r="BD17" s="127">
        <f>IF(ISNUMBER(BA17/AZ17),BA17/AZ17," - ")</f>
        <v>0.94214876033057848</v>
      </c>
      <c r="BE17" s="128">
        <f>IF(ISNUMBER(BB17/BA17),BB17/BA17, " - ")</f>
        <v>1.7543859649122806</v>
      </c>
      <c r="BF17" s="128">
        <f>IF(ISNUMBER(BC17/BA17),BC17/BA17, " - ")</f>
        <v>5.2631578947368418E-2</v>
      </c>
      <c r="BG17" s="200">
        <f>IF(ISNUMBER((AY17+AZ17)/BA17),(AY17+AZ17)/BA17," - ")</f>
        <v>2.7543859649122808</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2310</v>
      </c>
      <c r="J18" s="188">
        <f t="shared" si="15"/>
        <v>1435</v>
      </c>
      <c r="K18" s="188">
        <f t="shared" si="15"/>
        <v>1369</v>
      </c>
      <c r="L18" s="188">
        <f t="shared" si="15"/>
        <v>2376</v>
      </c>
      <c r="M18" s="188">
        <f t="shared" si="15"/>
        <v>195</v>
      </c>
      <c r="N18" s="188">
        <f t="shared" si="15"/>
        <v>670</v>
      </c>
      <c r="O18" s="188">
        <f t="shared" si="15"/>
        <v>23</v>
      </c>
      <c r="P18" s="188">
        <f t="shared" si="15"/>
        <v>45</v>
      </c>
      <c r="Q18" s="188">
        <f t="shared" si="15"/>
        <v>70</v>
      </c>
      <c r="R18" s="188">
        <f t="shared" si="15"/>
        <v>216</v>
      </c>
      <c r="S18" s="188">
        <f t="shared" si="15"/>
        <v>1686</v>
      </c>
      <c r="T18" s="188">
        <f t="shared" si="15"/>
        <v>1423</v>
      </c>
      <c r="U18" s="188">
        <f t="shared" si="15"/>
        <v>1289</v>
      </c>
      <c r="V18" s="188">
        <f t="shared" si="15"/>
        <v>1824</v>
      </c>
      <c r="W18" s="188">
        <f t="shared" si="15"/>
        <v>216</v>
      </c>
      <c r="X18" s="188">
        <f t="shared" si="15"/>
        <v>684</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1686</v>
      </c>
      <c r="AZ18" s="188">
        <f>SUBTOTAL(9,AZ14:AZ17)</f>
        <v>1423</v>
      </c>
      <c r="BA18" s="188">
        <f>SUBTOTAL(9,BA14:BA17)</f>
        <v>1289</v>
      </c>
      <c r="BB18" s="188">
        <f>SUBTOTAL(9,BB14:BB17)</f>
        <v>1824</v>
      </c>
      <c r="BC18" s="188">
        <f>SUBTOTAL(9,BC14:BC17)</f>
        <v>216</v>
      </c>
      <c r="BD18" s="209">
        <f>IF(ISNUMBER(BA18/AZ18),BA18/AZ18," - ")</f>
        <v>0.90583274771609279</v>
      </c>
      <c r="BE18" s="210">
        <f>IF(ISNUMBER(BB18/BA18),BB18/BA18, " - ")</f>
        <v>1.4150504266873545</v>
      </c>
      <c r="BF18" s="210">
        <f>IF(ISNUMBER(BC18/BA18),BC18/BA18, " - ")</f>
        <v>0.16757176105508145</v>
      </c>
      <c r="BG18" s="211">
        <f>IF(ISNUMBER((AY18+AZ18)/BA18),(AY18+AZ18)/BA18," - ")</f>
        <v>2.4119472459270752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5839</v>
      </c>
      <c r="J19" s="135">
        <f t="shared" si="18"/>
        <v>4260</v>
      </c>
      <c r="K19" s="135">
        <f t="shared" si="18"/>
        <v>3605</v>
      </c>
      <c r="L19" s="135">
        <f t="shared" si="18"/>
        <v>6497</v>
      </c>
      <c r="M19" s="135">
        <f t="shared" si="18"/>
        <v>907</v>
      </c>
      <c r="N19" s="135">
        <f t="shared" si="18"/>
        <v>1660</v>
      </c>
      <c r="O19" s="135">
        <f t="shared" si="18"/>
        <v>1078</v>
      </c>
      <c r="P19" s="135">
        <f t="shared" si="18"/>
        <v>656</v>
      </c>
      <c r="Q19" s="135">
        <f t="shared" si="18"/>
        <v>637</v>
      </c>
      <c r="R19" s="135">
        <f t="shared" si="18"/>
        <v>5505</v>
      </c>
      <c r="S19" s="135">
        <f t="shared" si="18"/>
        <v>5360</v>
      </c>
      <c r="T19" s="135">
        <f t="shared" si="18"/>
        <v>3391</v>
      </c>
      <c r="U19" s="135">
        <f t="shared" si="18"/>
        <v>3207</v>
      </c>
      <c r="V19" s="135">
        <f t="shared" si="18"/>
        <v>5557</v>
      </c>
      <c r="W19" s="135">
        <f t="shared" si="18"/>
        <v>858</v>
      </c>
      <c r="X19" s="135">
        <f t="shared" si="18"/>
        <v>1504</v>
      </c>
      <c r="Y19" s="135">
        <f t="shared" si="18"/>
        <v>154</v>
      </c>
      <c r="Z19" s="135">
        <f t="shared" si="18"/>
        <v>319</v>
      </c>
      <c r="AA19" s="135">
        <f t="shared" si="18"/>
        <v>317</v>
      </c>
      <c r="AB19" s="135">
        <f t="shared" si="18"/>
        <v>156</v>
      </c>
      <c r="AC19" s="135">
        <f t="shared" si="18"/>
        <v>0</v>
      </c>
      <c r="AD19" s="135">
        <f t="shared" si="18"/>
        <v>1</v>
      </c>
      <c r="AE19" s="135">
        <f t="shared" si="18"/>
        <v>1</v>
      </c>
      <c r="AF19" s="135">
        <f t="shared" si="18"/>
        <v>0</v>
      </c>
      <c r="AG19" s="135">
        <f t="shared" si="18"/>
        <v>199</v>
      </c>
      <c r="AH19" s="135">
        <f t="shared" si="18"/>
        <v>330</v>
      </c>
      <c r="AI19" s="135">
        <f t="shared" si="18"/>
        <v>333</v>
      </c>
      <c r="AJ19" s="135">
        <f t="shared" si="18"/>
        <v>198</v>
      </c>
      <c r="AK19" s="135">
        <f t="shared" si="18"/>
        <v>0</v>
      </c>
      <c r="AL19" s="135">
        <f t="shared" si="18"/>
        <v>2</v>
      </c>
      <c r="AM19" s="135">
        <f t="shared" si="18"/>
        <v>2</v>
      </c>
      <c r="AN19" s="214">
        <f t="shared" si="18"/>
        <v>0</v>
      </c>
      <c r="AO19" s="215">
        <v>10</v>
      </c>
      <c r="AP19" s="215">
        <v>9</v>
      </c>
      <c r="AQ19" s="215">
        <v>9</v>
      </c>
      <c r="AR19" s="215">
        <v>9</v>
      </c>
      <c r="AS19" s="157">
        <f t="shared" si="18"/>
        <v>0</v>
      </c>
      <c r="AT19" s="157">
        <f t="shared" si="18"/>
        <v>0</v>
      </c>
      <c r="AU19" s="215"/>
      <c r="AV19" s="216"/>
      <c r="AW19" s="215"/>
      <c r="AX19" s="216"/>
      <c r="AY19" s="134">
        <f>SUBTOTAL(9,AY9:AY18)</f>
        <v>5559</v>
      </c>
      <c r="AZ19" s="135">
        <f>SUBTOTAL(9,AZ9:AZ18)</f>
        <v>3721</v>
      </c>
      <c r="BA19" s="135">
        <f>SUBTOTAL(9,BA9:BA18)</f>
        <v>3540</v>
      </c>
      <c r="BB19" s="135">
        <f>SUBTOTAL(9,BB9:BB18)</f>
        <v>5755</v>
      </c>
      <c r="BC19" s="136">
        <f>SUBTOTAL(9,BC9:BC18)</f>
        <v>1043</v>
      </c>
      <c r="BD19" s="217">
        <f>IF(ISNUMBER(BA19/AZ19),BA19/AZ19," - ")</f>
        <v>0.95135716205321152</v>
      </c>
      <c r="BE19" s="214">
        <f>IF(ISNUMBER(BB19/BA19),BB19/BA19, " - ")</f>
        <v>1.6257062146892656</v>
      </c>
      <c r="BF19" s="214">
        <f>IF(ISNUMBER(BC19/BA19),BC19/BA19, " - ")</f>
        <v>0.29463276836158192</v>
      </c>
      <c r="BG19" s="136">
        <f>IF(ISNUMBER((AY19+AZ19)/BA19),(AY19+AZ19)/BA19," - ")</f>
        <v>2.6214689265536721</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4KqZvcQ0CtZup9H+bmuyB756ZXFXCvrdpDKGCYFLayUvDpEqcmkZ1iYvob68P27Ax0AxNQjHSt6gD3F/uwmOA==" saltValue="7IZJhk2Bs2DGPzJ38WxU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387</v>
      </c>
      <c r="BN5" s="1460"/>
      <c r="BO5" s="1461"/>
      <c r="BP5" s="1460"/>
      <c r="BQ5" s="1461"/>
      <c r="BR5" s="1460"/>
      <c r="BS5" s="1461"/>
      <c r="BT5" s="1460"/>
      <c r="BU5" s="1461"/>
      <c r="BV5" s="1613" t="s">
        <v>271</v>
      </c>
      <c r="BW5" s="1650" t="s">
        <v>251</v>
      </c>
      <c r="BX5" s="1650"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456</v>
      </c>
      <c r="CL5" s="1530" t="s">
        <v>457</v>
      </c>
      <c r="CM5" s="1530" t="s">
        <v>458</v>
      </c>
      <c r="CN5" s="1546" t="s">
        <v>369</v>
      </c>
      <c r="CO5" s="1546" t="s">
        <v>362</v>
      </c>
      <c r="CP5" s="1546" t="s">
        <v>368</v>
      </c>
      <c r="CQ5" s="1549" t="s">
        <v>367</v>
      </c>
      <c r="CR5" s="1549" t="s">
        <v>42</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479</v>
      </c>
      <c r="DM5" s="1622" t="s">
        <v>529</v>
      </c>
      <c r="DN5" s="1622" t="s">
        <v>530</v>
      </c>
      <c r="DO5" s="1622" t="s">
        <v>531</v>
      </c>
      <c r="DP5" s="1622" t="s">
        <v>532</v>
      </c>
      <c r="DQ5" s="1622" t="s">
        <v>533</v>
      </c>
      <c r="DR5" s="1622" t="s">
        <v>534</v>
      </c>
      <c r="DS5" s="1622" t="s">
        <v>535</v>
      </c>
      <c r="DT5" s="1622" t="s">
        <v>536</v>
      </c>
      <c r="DU5" s="1635" t="s">
        <v>537</v>
      </c>
      <c r="DV5" s="1635" t="s">
        <v>538</v>
      </c>
      <c r="DW5" s="1632" t="s">
        <v>539</v>
      </c>
      <c r="DX5" s="1622" t="s">
        <v>540</v>
      </c>
      <c r="DY5" s="1629" t="s">
        <v>541</v>
      </c>
      <c r="DZ5" s="1632" t="s">
        <v>542</v>
      </c>
      <c r="EA5" s="1629" t="s">
        <v>543</v>
      </c>
      <c r="EB5" s="1626" t="s">
        <v>587</v>
      </c>
      <c r="EC5" s="1626" t="s">
        <v>619</v>
      </c>
      <c r="ED5" s="1626" t="s">
        <v>589</v>
      </c>
      <c r="EE5" s="1626" t="s">
        <v>622</v>
      </c>
      <c r="EF5" s="1626" t="s">
        <v>623</v>
      </c>
      <c r="EG5" s="1629" t="s">
        <v>624</v>
      </c>
      <c r="EH5" s="1629" t="s">
        <v>625</v>
      </c>
      <c r="EI5" s="1629" t="s">
        <v>591</v>
      </c>
      <c r="EJ5" s="1629" t="s">
        <v>592</v>
      </c>
      <c r="EK5" s="1653" t="s">
        <v>673</v>
      </c>
      <c r="EL5" s="1644" t="s">
        <v>689</v>
      </c>
      <c r="EM5" s="1645"/>
      <c r="EN5" s="1646"/>
      <c r="EO5" s="1542" t="s">
        <v>747</v>
      </c>
      <c r="EP5" s="1542" t="s">
        <v>749</v>
      </c>
      <c r="EQ5" s="1542" t="s">
        <v>750</v>
      </c>
      <c r="ER5" s="1542" t="s">
        <v>755</v>
      </c>
      <c r="ES5" s="1542" t="s">
        <v>760</v>
      </c>
      <c r="ET5" s="1638" t="s">
        <v>824</v>
      </c>
      <c r="EU5" s="1638" t="s">
        <v>825</v>
      </c>
      <c r="EV5" s="1545" t="s">
        <v>841</v>
      </c>
      <c r="EW5" s="1629" t="s">
        <v>844</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746</v>
      </c>
      <c r="B7" s="1576"/>
      <c r="C7" s="1579"/>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690</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866</v>
      </c>
      <c r="EY8" s="487" t="s">
        <v>879</v>
      </c>
    </row>
    <row r="9" spans="1:155" s="693" customFormat="1" ht="14.25" customHeight="1">
      <c r="A9" s="721" t="s">
        <v>45</v>
      </c>
      <c r="B9" s="675" t="s">
        <v>402</v>
      </c>
      <c r="C9" s="676" t="s">
        <v>3</v>
      </c>
      <c r="D9" s="677" t="s">
        <v>20</v>
      </c>
      <c r="E9" s="675" t="s">
        <v>21</v>
      </c>
      <c r="F9" s="675">
        <v>32</v>
      </c>
      <c r="G9" s="678"/>
      <c r="H9" s="722" t="s">
        <v>244</v>
      </c>
      <c r="I9" s="723" t="s">
        <v>870</v>
      </c>
      <c r="J9" s="680" t="s">
        <v>872</v>
      </c>
      <c r="K9" s="680" t="s">
        <v>874</v>
      </c>
      <c r="L9" s="680" t="s">
        <v>876</v>
      </c>
      <c r="M9" s="680" t="s">
        <v>878</v>
      </c>
      <c r="N9" s="680" t="s">
        <v>881</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887</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894</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888</v>
      </c>
      <c r="DC9" s="729" t="s">
        <v>889</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890</v>
      </c>
      <c r="EP9" s="1135" t="s">
        <v>862</v>
      </c>
      <c r="EQ9" s="1135" t="s">
        <v>863</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896</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882</v>
      </c>
      <c r="DC11" s="334" t="s">
        <v>883</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891</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871</v>
      </c>
      <c r="J12" s="321" t="s">
        <v>873</v>
      </c>
      <c r="K12" s="321" t="s">
        <v>875</v>
      </c>
      <c r="L12" s="321" t="s">
        <v>877</v>
      </c>
      <c r="M12" s="321" t="s">
        <v>869</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884</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895</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885</v>
      </c>
      <c r="DC12" s="729" t="s">
        <v>886</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893</v>
      </c>
      <c r="EP12" s="1135" t="s">
        <v>864</v>
      </c>
      <c r="EQ12" s="1135" t="s">
        <v>865</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Brx0qeWZlRvKAIxr4kCGlzMNISafVbssR28eCmG8QAPy0D2O8gdE39NbK6l0/iA1CQ2gb9W7t6EUf1dstNuXw==" saltValue="FRvVPSEX1T3nt3bIRyPh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LUGO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350</v>
      </c>
      <c r="B5" s="276"/>
      <c r="C5" s="1665"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668</v>
      </c>
      <c r="L5" s="1656" t="s">
        <v>561</v>
      </c>
      <c r="M5" s="1656" t="s">
        <v>529</v>
      </c>
      <c r="N5" s="1656" t="s">
        <v>669</v>
      </c>
      <c r="O5" s="1659" t="s">
        <v>587</v>
      </c>
      <c r="P5" s="1656" t="s">
        <v>687</v>
      </c>
      <c r="Q5" s="1656" t="s">
        <v>682</v>
      </c>
      <c r="R5" s="1656" t="s">
        <v>166</v>
      </c>
      <c r="S5" s="1662" t="s">
        <v>679</v>
      </c>
      <c r="T5" s="1662" t="s">
        <v>681</v>
      </c>
      <c r="U5" s="1656" t="s">
        <v>590</v>
      </c>
      <c r="V5" s="1662" t="s">
        <v>562</v>
      </c>
      <c r="W5" s="1656" t="s">
        <v>774</v>
      </c>
      <c r="X5" s="1656" t="s">
        <v>775</v>
      </c>
      <c r="Y5" s="1676" t="s">
        <v>670</v>
      </c>
      <c r="Z5" s="1673" t="s">
        <v>612</v>
      </c>
      <c r="AA5" s="1691" t="s">
        <v>563</v>
      </c>
      <c r="AB5" s="1673" t="s">
        <v>564</v>
      </c>
      <c r="AC5" s="1673" t="s">
        <v>565</v>
      </c>
      <c r="AD5" s="1694" t="s">
        <v>671</v>
      </c>
      <c r="AE5" s="1694" t="s">
        <v>802</v>
      </c>
      <c r="AF5" s="1656" t="s">
        <v>683</v>
      </c>
      <c r="AG5" s="1656" t="s">
        <v>530</v>
      </c>
      <c r="AH5" s="1656" t="s">
        <v>672</v>
      </c>
      <c r="AI5" s="1656" t="s">
        <v>177</v>
      </c>
      <c r="AJ5" s="1656" t="s">
        <v>737</v>
      </c>
      <c r="AK5" s="1656" t="s">
        <v>531</v>
      </c>
      <c r="AL5" s="1656" t="s">
        <v>532</v>
      </c>
      <c r="AM5" s="1656" t="s">
        <v>688</v>
      </c>
      <c r="AN5" s="1656" t="s">
        <v>533</v>
      </c>
      <c r="AO5" s="1656" t="s">
        <v>534</v>
      </c>
      <c r="AP5" s="1656" t="s">
        <v>535</v>
      </c>
      <c r="AQ5" s="1656" t="s">
        <v>536</v>
      </c>
      <c r="AR5" s="1656" t="s">
        <v>673</v>
      </c>
      <c r="AS5" s="1656" t="s">
        <v>180</v>
      </c>
      <c r="AT5" s="1679" t="s">
        <v>178</v>
      </c>
      <c r="AU5" s="1656" t="s">
        <v>684</v>
      </c>
      <c r="AV5" s="1682" t="s">
        <v>685</v>
      </c>
      <c r="AW5" s="1685" t="s">
        <v>538</v>
      </c>
      <c r="AX5" s="1656" t="s">
        <v>539</v>
      </c>
      <c r="AY5" s="1656" t="s">
        <v>610</v>
      </c>
      <c r="AZ5" s="1688" t="s">
        <v>611</v>
      </c>
      <c r="BA5" s="1656" t="s">
        <v>567</v>
      </c>
      <c r="BB5" s="1682" t="s">
        <v>568</v>
      </c>
      <c r="BC5" s="1685" t="s">
        <v>181</v>
      </c>
      <c r="BD5" s="1656" t="s">
        <v>569</v>
      </c>
      <c r="BE5" s="1656" t="s">
        <v>246</v>
      </c>
      <c r="BF5" s="1656" t="s">
        <v>247</v>
      </c>
      <c r="BG5" s="1656" t="s">
        <v>248</v>
      </c>
      <c r="BH5" s="1656" t="s">
        <v>570</v>
      </c>
      <c r="BI5" s="1656" t="s">
        <v>249</v>
      </c>
      <c r="BJ5" s="1656" t="s">
        <v>571</v>
      </c>
      <c r="BK5" s="1656" t="s">
        <v>585</v>
      </c>
      <c r="BL5" s="1656" t="s">
        <v>572</v>
      </c>
      <c r="BM5" s="1656" t="s">
        <v>573</v>
      </c>
      <c r="BN5" s="1656" t="s">
        <v>598</v>
      </c>
      <c r="BO5" s="1656" t="s">
        <v>591</v>
      </c>
      <c r="BP5" s="1656" t="s">
        <v>842</v>
      </c>
      <c r="BQ5" s="1656" t="s">
        <v>845</v>
      </c>
      <c r="BR5" s="1656" t="s">
        <v>847</v>
      </c>
      <c r="BS5" s="1656" t="s">
        <v>592</v>
      </c>
      <c r="BT5" s="1656" t="s">
        <v>574</v>
      </c>
      <c r="BU5" s="1656" t="s">
        <v>537</v>
      </c>
      <c r="BV5" s="1670" t="s">
        <v>776</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245</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167</v>
      </c>
      <c r="O9" s="503"/>
      <c r="P9" s="503"/>
      <c r="Q9" s="501">
        <f>IF(ISNUMBER(Datos!P9),Datos!P9,0)</f>
        <v>601</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560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100</v>
      </c>
      <c r="AI9" s="503" t="str">
        <f>IF(ISNUMBER(Datos!CD9),Datos!CD9,"-")</f>
        <v>-</v>
      </c>
      <c r="AJ9" s="503" t="str">
        <f>IF(ISNUMBER(Datos!EN9),Datos!EN9," - ")</f>
        <v xml:space="preserve"> - </v>
      </c>
      <c r="AK9" s="503"/>
      <c r="AL9" s="504"/>
      <c r="AM9" s="671">
        <f>IF(ISNUMBER(Datos!R9),Datos!R9," - ")</f>
        <v>4802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641</v>
      </c>
      <c r="BD9" s="619">
        <f>IF(ISNUMBER(Datos!N9),Datos!N9," - ")</f>
        <v>829</v>
      </c>
      <c r="BE9" s="619" t="str">
        <f>IF(ISNUMBER(Datos!BW9),Datos!BW9," - ")</f>
        <v xml:space="preserve"> - </v>
      </c>
      <c r="BF9" s="667" t="str">
        <f>IF(ISNUMBER(Datos!BX9),Datos!BX9," - ")</f>
        <v xml:space="preserve"> - </v>
      </c>
      <c r="BG9" s="668">
        <f>IF(ISNUMBER(IF(J_V="SI",Datos!K9/Datos!J9,(Datos!K9+Datos!AA9)/(Datos!J9+Datos!Z9))),IF(J_V="SI",Datos!K9/Datos!J9,(Datos!K9+Datos!AA9)/(Datos!J9+Datos!Z9))," - ")</f>
        <v>0.82018813314037631</v>
      </c>
      <c r="BH9" s="669">
        <f>IF(ISNUMBER(((IF(J_V="SI",Datos!L9/Datos!K9,(Datos!L9+Datos!AB9)/(Datos!K9+Datos!AA9)))*11)/factor_trimestre),((IF(J_V="SI",Datos!L9/Datos!K9,(Datos!L9+Datos!AB9)/(Datos!K9+Datos!AA9)))*11)/factor_trimestre," - ")</f>
        <v>5.2152624614027348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8.6116362108800675E-3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245</v>
      </c>
      <c r="C10" s="654" t="str">
        <f>Datos!A10</f>
        <v>Jdos. Violencia contra la mujer</v>
      </c>
      <c r="D10" s="548"/>
      <c r="E10" s="669">
        <f>IF(ISNUMBER(Datos!AQ10),Datos!AQ10," - ")</f>
        <v>0</v>
      </c>
      <c r="F10" s="506">
        <f>IF(ISNUMBER(Datos!L10+Datos!K10-Datos!J10),Datos!L10+Datos!K10-Datos!J10," - ")</f>
        <v>98</v>
      </c>
      <c r="G10" s="497">
        <f>IF(ISNUMBER(Datos!I10),Datos!I10," - ")</f>
        <v>98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0</v>
      </c>
      <c r="AD10" s="503"/>
      <c r="AE10" s="516"/>
      <c r="AF10" s="505">
        <f>IF(ISNUMBER(Datos!L10),Datos!L10,"-")</f>
        <v>84</v>
      </c>
      <c r="AG10" s="503"/>
      <c r="AH10" s="503"/>
      <c r="AI10" s="503"/>
      <c r="AJ10" s="503"/>
      <c r="AK10" s="503"/>
      <c r="AL10" s="504"/>
      <c r="AM10" s="671">
        <f>IF(ISNUMBER(Datos!R10),Datos!R10," - ")</f>
        <v>91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27</v>
      </c>
      <c r="BD10" s="619">
        <f>IF(ISNUMBER(Datos!N10),Datos!N10," - ")</f>
        <v>0</v>
      </c>
      <c r="BE10" s="619" t="str">
        <f>IF(ISNUMBER(Datos!BW10),Datos!BW10," - ")</f>
        <v xml:space="preserve"> - </v>
      </c>
      <c r="BF10" s="667" t="str">
        <f>IF(ISNUMBER(Datos!BX10),Datos!BX10," - ")</f>
        <v xml:space="preserve"> - </v>
      </c>
      <c r="BG10" s="668">
        <f>IF(ISNUMBER(Datos!K10/Datos!J10),Datos!K10/Datos!J10," - ")</f>
        <v>2.0769230769230771</v>
      </c>
      <c r="BH10" s="669">
        <f>IF(ISNUMBER(((Datos!L10/Datos!K10)*11)/factor_trimestre),((Datos!L10/Datos!K10)*11)/factor_trimestre," - ")</f>
        <v>9.3333333333333339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5.8139534883720929E-2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151</v>
      </c>
      <c r="O11" s="503"/>
      <c r="P11" s="503"/>
      <c r="Q11" s="501">
        <f>IF(ISNUMBER(Datos!P11),Datos!P11,0)</f>
        <v>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0</v>
      </c>
      <c r="AD11" s="503"/>
      <c r="AE11" s="516"/>
      <c r="AF11" s="505" t="str">
        <f>IF(ISNUMBER(IF(J_V="SI",Datos!L11,Datos!L11+Datos!AB11)-IF(Monitorios="SI",Datos!CD11,0)),
                          IF(J_V="SI",Datos!L11,Datos!L11+Datos!AB11)-IF(Monitorios="SI",Datos!CD11,0),
                          " - ")</f>
        <v xml:space="preserve"> - </v>
      </c>
      <c r="AG11" s="503"/>
      <c r="AH11" s="503">
        <f>IF(ISNUMBER(Datos!AB11),Datos!AB11,"-")</f>
        <v>56</v>
      </c>
      <c r="AI11" s="503"/>
      <c r="AJ11" s="503"/>
      <c r="AK11" s="503"/>
      <c r="AL11" s="504"/>
      <c r="AM11" s="671">
        <f>IF(ISNUMBER(Datos!R11),Datos!R11," - ")</f>
        <v>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44</v>
      </c>
      <c r="BD11" s="619">
        <f>IF(ISNUMBER(Datos!N11),Datos!N11," - ")</f>
        <v>147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0.70491803278688525</v>
      </c>
      <c r="BH11" s="669">
        <f>IF(ISNUMBER(((IF(J_V="SI",Datos!L11/Datos!K11,(Datos!L11+Datos!AB11)/(Datos!K11+Datos!AA11)))*11)/factor_trimestre),((IF(J_V="SI",Datos!L11/Datos!K11,(Datos!L11+Datos!AB11)/(Datos!K11+Datos!AA11)))*11)/factor_trimestre," - ")</f>
        <v>2.8953488372093026</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392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v>
      </c>
      <c r="BH12" s="669">
        <f>IF(ISNUMBER(((IF(J_V="SI",Datos!L12/Datos!K12,(Datos!L12+Datos!AB12)/(Datos!K12+Datos!AA12)))*11)/factor_trimestre),((IF(J_V="SI",Datos!L12/Datos!K12,(Datos!L12+Datos!AB12)/(Datos!K12+Datos!AA12)))*11)/factor_trimestre," - ")</f>
        <v>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-1.507537688442211E-2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98</v>
      </c>
      <c r="G13" s="1044">
        <f t="shared" si="0"/>
        <v>98</v>
      </c>
      <c r="H13" s="1045">
        <f t="shared" si="0"/>
        <v>0</v>
      </c>
      <c r="I13" s="1044">
        <f t="shared" si="0"/>
        <v>0</v>
      </c>
      <c r="J13" s="1013">
        <f t="shared" si="0"/>
        <v>0</v>
      </c>
      <c r="K13" s="1013">
        <f t="shared" si="0"/>
        <v>0</v>
      </c>
      <c r="L13" s="1045">
        <f t="shared" si="0"/>
        <v>0</v>
      </c>
      <c r="M13" s="1045">
        <f t="shared" si="0"/>
        <v>0</v>
      </c>
      <c r="N13" s="1045">
        <f t="shared" si="0"/>
        <v>319</v>
      </c>
      <c r="O13" s="1046">
        <f t="shared" si="0"/>
        <v>0</v>
      </c>
      <c r="P13" s="1046">
        <f t="shared" si="0"/>
        <v>0</v>
      </c>
      <c r="Q13" s="1045">
        <f t="shared" si="0"/>
        <v>611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567</v>
      </c>
      <c r="AD13" s="1045">
        <f t="shared" si="1"/>
        <v>0</v>
      </c>
      <c r="AE13" s="1045">
        <f t="shared" si="1"/>
        <v>0</v>
      </c>
      <c r="AF13" s="1045">
        <f t="shared" si="1"/>
        <v>84</v>
      </c>
      <c r="AG13" s="1045">
        <f t="shared" si="1"/>
        <v>0</v>
      </c>
      <c r="AH13" s="1045">
        <f t="shared" si="1"/>
        <v>156</v>
      </c>
      <c r="AI13" s="1045">
        <f t="shared" si="1"/>
        <v>0</v>
      </c>
      <c r="AJ13" s="1045">
        <f t="shared" si="1"/>
        <v>0</v>
      </c>
      <c r="AK13" s="1045">
        <f t="shared" si="1"/>
        <v>0</v>
      </c>
      <c r="AL13" s="1045">
        <f t="shared" si="1"/>
        <v>0</v>
      </c>
      <c r="AM13" s="1045">
        <f t="shared" si="1"/>
        <v>5289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712</v>
      </c>
      <c r="BD13" s="1045">
        <f t="shared" si="1"/>
        <v>990</v>
      </c>
      <c r="BE13" s="1045">
        <f t="shared" si="1"/>
        <v>0</v>
      </c>
      <c r="BF13" s="1045">
        <f t="shared" si="1"/>
        <v>0</v>
      </c>
      <c r="BG13" s="1045">
        <f>IF(ISNUMBER(Datos!K13/Datos!J13),Datos!K13/Datos!J13," - ")</f>
        <v>0.79150442477876104</v>
      </c>
      <c r="BH13" s="1049">
        <f>IF(ISNUMBER(((Datos!L13/Datos!K13)*11)/factor_trimestre),((Datos!L13/Datos!K13)*11)/factor_trimestre," - ")</f>
        <v>5.5290697674418601</v>
      </c>
      <c r="BI13" s="1045">
        <f>IF(ISNUMBER('Resol  Asuntos'!D13/NºAsuntos!G13),'Resol  Asuntos'!D13/NºAsuntos!G13," - ")</f>
        <v>0.2788875832354093</v>
      </c>
      <c r="BJ13" s="1045" t="str">
        <f>IF(ISNUMBER(Datos!CI13/Datos!CJ13),Datos!CI13/Datos!CJ13," - ")</f>
        <v xml:space="preserve"> - </v>
      </c>
      <c r="BK13" s="1045">
        <f>SUBTOTAL(9,BK8:BK12)</f>
        <v>0</v>
      </c>
      <c r="BL13" s="1045">
        <f>IF(ISNUMBER((I13-AB13+L13)/(F13)),(I13-AB13+L13)/(F13)," - ")</f>
        <v>-0.27551020408163263</v>
      </c>
      <c r="BM13" s="1050">
        <f>SUBTOTAL(9,BM9:BM12)</f>
        <v>5.1675794210178885E-2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396</v>
      </c>
      <c r="C15" s="656" t="str">
        <f>Datos!A15</f>
        <v xml:space="preserve">Jdos. Instrucción                               </v>
      </c>
      <c r="D15" s="657"/>
      <c r="E15" s="1330">
        <f>IF(ISNUMBER(Datos!AQ15),Datos!AQ15," - ")</f>
        <v>3</v>
      </c>
      <c r="F15" s="647">
        <f>IF(ISNUMBER(AF15+AB15-Datos!J15-L15),AF15+AB15-Datos!J15-L15," - ")</f>
        <v>2127</v>
      </c>
      <c r="G15" s="650">
        <f>IF(ISNUMBER(IF(D_I="SI",Datos!I15,Datos!I15+Datos!AC15)),IF(D_I="SI",Datos!I15,Datos!I15+Datos!AC15)," - ")</f>
        <v>2127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45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1249</v>
      </c>
      <c r="AC15" s="230">
        <f>IF(ISNUMBER(Datos!Q15),Datos!Q15," - ")</f>
        <v>70</v>
      </c>
      <c r="AD15" s="343"/>
      <c r="AE15" s="515"/>
      <c r="AF15" s="648">
        <f>IF(ISNUMBER(IF(D_I="SI",Datos!L15,Datos!L15+Datos!AF15)),IF(D_I="SI",Datos!L15,Datos!L15+Datos!AF15)," - ")</f>
        <v>2212</v>
      </c>
      <c r="AG15" s="343"/>
      <c r="AH15" s="343"/>
      <c r="AI15" s="343"/>
      <c r="AJ15" s="503"/>
      <c r="AK15" s="343"/>
      <c r="AL15" s="499"/>
      <c r="AM15" s="344">
        <f>IF(ISNUMBER(Datos!R15),Datos!R15," - ")</f>
        <v>216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194</v>
      </c>
      <c r="BD15" s="233">
        <f>IF(ISNUMBER(Datos!N15),Datos!N15," - ")</f>
        <v>600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0.93628185907046479</v>
      </c>
      <c r="BH15" s="669">
        <f>IF(ISNUMBER(((IF(D_I="SI",Datos!L15/Datos!K15,(Datos!L15+Datos!AF15)/(Datos!K15+Datos!AE15)))*11)/factor_trimestre),((IF(D_I="SI",Datos!L15/Datos!K15,(Datos!L15+Datos!AF15)/(Datos!K15+Datos!AE15)))*11)/factor_trimestre," - ")</f>
        <v>5.3130504403522822</v>
      </c>
      <c r="BI15" s="247">
        <f>IF(ISNUMBER('Resol  Asuntos'!D15/NºAsuntos!G15),'Resol  Asuntos'!D15/NºAsuntos!G15," - ")</f>
        <v>0.15532425940752603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396</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183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120</v>
      </c>
      <c r="AC17" s="501">
        <f>IF(ISNUMBER(Datos!Q17),Datos!Q17," - ")</f>
        <v>0</v>
      </c>
      <c r="AD17" s="503"/>
      <c r="AE17" s="515"/>
      <c r="AF17" s="505">
        <f>IF(ISNUMBER(Datos!L17),Datos!L17,"-")</f>
        <v>164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70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1.1881188118811881</v>
      </c>
      <c r="BH17" s="669">
        <f>IF(ISNUMBER(((IF(D_I="SI",Datos!L17/Datos!K17,(Datos!L17+Datos!AF17)/(Datos!K17+Datos!AE17)))*11)/factor_trimestre),((IF(D_I="SI",Datos!L17/Datos!K17,(Datos!L17+Datos!AF17)/(Datos!K17+Datos!AE17)))*11)/factor_trimestre," - ")</f>
        <v>4.1000000000000005</v>
      </c>
      <c r="BI17" s="668">
        <f>IF(ISNUMBER('Resol  Asuntos'!D17/NºAsuntos!G17),'Resol  Asuntos'!D17/NºAsuntos!G17," - ")</f>
        <v>8.3333333333333332E-3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2127</v>
      </c>
      <c r="G18" s="1044">
        <f>SUBTOTAL(9,G15:G17)</f>
        <v>2310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1369</v>
      </c>
      <c r="AC18" s="1045">
        <f t="shared" si="4"/>
        <v>70</v>
      </c>
      <c r="AD18" s="1045">
        <f t="shared" si="4"/>
        <v>0</v>
      </c>
      <c r="AE18" s="1045">
        <f t="shared" si="4"/>
        <v>0</v>
      </c>
      <c r="AF18" s="1045">
        <f t="shared" si="4"/>
        <v>2376</v>
      </c>
      <c r="AG18" s="1045">
        <f t="shared" si="4"/>
        <v>0</v>
      </c>
      <c r="AH18" s="1045">
        <f t="shared" si="4"/>
        <v>0</v>
      </c>
      <c r="AI18" s="1045">
        <f t="shared" si="4"/>
        <v>0</v>
      </c>
      <c r="AJ18" s="1045">
        <f t="shared" si="4"/>
        <v>0</v>
      </c>
      <c r="AK18" s="1045">
        <f t="shared" si="4"/>
        <v>0</v>
      </c>
      <c r="AL18" s="1045">
        <f t="shared" si="4"/>
        <v>0</v>
      </c>
      <c r="AM18" s="1045">
        <f t="shared" si="4"/>
        <v>216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195</v>
      </c>
      <c r="BD18" s="1045">
        <f t="shared" si="4"/>
        <v>670</v>
      </c>
      <c r="BE18" s="1045">
        <f t="shared" si="4"/>
        <v>0</v>
      </c>
      <c r="BF18" s="1045">
        <f t="shared" si="4"/>
        <v>0</v>
      </c>
      <c r="BG18" s="1045">
        <f>IF(ISNUMBER(Datos!K18/Datos!J18),Datos!K18/Datos!J18," - ")</f>
        <v>0.95400696864111501</v>
      </c>
      <c r="BH18" s="1049">
        <f>IF(ISNUMBER(((Datos!L18/Datos!K18)*11)/factor_trimestre),((Datos!L18/Datos!K18)*11)/factor_trimestre," - ")</f>
        <v>5.2067202337472613</v>
      </c>
      <c r="BI18" s="1045">
        <f>SUBTOTAL(9,BI15:BI17)</f>
        <v>0.16365759274085936</v>
      </c>
      <c r="BJ18" s="1045">
        <f>SUBTOTAL(9,BJ15:BJ17)</f>
        <v>0</v>
      </c>
      <c r="BK18" s="1045">
        <f>SUBTOTAL(9,BK15:BK17)</f>
        <v>0</v>
      </c>
      <c r="BL18" s="1045">
        <f>IF(ISNUMBER((I18-AB18+L18)/(F18)),(I18-AB18+L18)/(F18)," - ")</f>
        <v>-0.64362952515279737</v>
      </c>
      <c r="BM18" s="1051">
        <f>IF(ISNUMBER((Datos!P18-Datos!Q18)/(Datos!R18-Datos!P18+Datos!Q18)),(Datos!P18-Datos!Q18)/(Datos!R18-Datos!P18+Datos!Q18)," - ")</f>
        <v>-0.1037344398340249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9</v>
      </c>
      <c r="F19" s="966">
        <f t="shared" si="6"/>
        <v>2225</v>
      </c>
      <c r="G19" s="966">
        <f t="shared" si="6"/>
        <v>2408</v>
      </c>
      <c r="H19" s="968">
        <f t="shared" si="6"/>
        <v>0</v>
      </c>
      <c r="I19" s="966">
        <f t="shared" si="6"/>
        <v>0</v>
      </c>
      <c r="J19" s="968">
        <f t="shared" si="6"/>
        <v>0</v>
      </c>
      <c r="K19" s="968">
        <f t="shared" si="6"/>
        <v>0</v>
      </c>
      <c r="L19" s="1027">
        <f t="shared" si="6"/>
        <v>0</v>
      </c>
      <c r="M19" s="1027">
        <f t="shared" si="6"/>
        <v>0</v>
      </c>
      <c r="N19" s="1027">
        <f t="shared" si="6"/>
        <v>319</v>
      </c>
      <c r="O19" s="1027">
        <f t="shared" si="6"/>
        <v>0</v>
      </c>
      <c r="P19" s="1027">
        <f t="shared" si="6"/>
        <v>0</v>
      </c>
      <c r="Q19" s="968">
        <f t="shared" si="6"/>
        <v>656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1396</v>
      </c>
      <c r="AC19" s="967">
        <f t="shared" si="7"/>
        <v>637</v>
      </c>
      <c r="AD19" s="967">
        <f t="shared" si="7"/>
        <v>0</v>
      </c>
      <c r="AE19" s="967">
        <f t="shared" si="7"/>
        <v>0</v>
      </c>
      <c r="AF19" s="974">
        <f t="shared" si="7"/>
        <v>2460</v>
      </c>
      <c r="AG19" s="974">
        <f t="shared" si="7"/>
        <v>0</v>
      </c>
      <c r="AH19" s="974">
        <f t="shared" si="7"/>
        <v>156</v>
      </c>
      <c r="AI19" s="974">
        <f t="shared" si="7"/>
        <v>0</v>
      </c>
      <c r="AJ19" s="967">
        <f t="shared" si="7"/>
        <v>0</v>
      </c>
      <c r="AK19" s="974">
        <f t="shared" si="7"/>
        <v>0</v>
      </c>
      <c r="AL19" s="974">
        <f t="shared" si="7"/>
        <v>0</v>
      </c>
      <c r="AM19" s="974">
        <f t="shared" si="7"/>
        <v>5505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907</v>
      </c>
      <c r="BD19" s="966">
        <f t="shared" si="7"/>
        <v>1660</v>
      </c>
      <c r="BE19" s="966">
        <f t="shared" si="7"/>
        <v>0</v>
      </c>
      <c r="BF19" s="976">
        <f t="shared" si="7"/>
        <v>0</v>
      </c>
      <c r="BG19" s="1061">
        <f>IF(ISNUMBER(Datos!K19/Datos!J19),Datos!K19/Datos!J19," - ")</f>
        <v>0.84624413145539901</v>
      </c>
      <c r="BH19" s="1061">
        <f>IF(ISNUMBER(((Datos!L19/Datos!K19)*11)/factor_trimestre),((Datos!L19/Datos!K19)*11)/factor_trimestre," - ")</f>
        <v>5.4066574202496529</v>
      </c>
      <c r="BI19" s="959">
        <f>IF(ISNUMBER(Datos!J19/Datos!I19),Datos!J19/Datos!I19," - ")</f>
        <v>0.72957698235999313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-0.62741573033707865</v>
      </c>
      <c r="BM19" s="1035">
        <f>IF(ISNUMBER((Datos!P19-Datos!Q19+R19)/(Datos!R19-Datos!P19+Datos!Q19-R19)),(Datos!P19-Datos!Q19+R19)/(Datos!R19-Datos!P19+Datos!Q19-R19)," - ")</f>
        <v>3.4633612832664965E-3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963.2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2.3452078799117149</v>
      </c>
      <c r="F21" s="599">
        <f>IF(ISNUMBER(STDEV(F8:F18)),STDEV(F8:F18),"-")</f>
        <v>1171.4436961857507</v>
      </c>
      <c r="G21" s="600">
        <f>IF(ISNUMBER(STDEV(G8:G18)),STDEV(G8:G18),"-")</f>
        <v>1148.2764040073278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687.56221536672592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289.04460851966383</v>
      </c>
      <c r="BD21" s="599"/>
      <c r="BE21" s="599">
        <f>IF(ISNUMBER(STDEV(BE8:BE18)),STDEV(BE8:BE18),"-")</f>
        <v>0</v>
      </c>
      <c r="BF21" s="604">
        <f>IF(ISNUMBER(STDEV(BF8:BF18)),STDEV(BF8:BF18),"-")</f>
        <v>0</v>
      </c>
      <c r="BG21" s="914">
        <f>IF(ISNUMBER(STDEV(BG8:BG18)),STDEV(BG8:BG18),"-")</f>
        <v>0.43693124115031839</v>
      </c>
      <c r="BH21" s="918">
        <f>IF(ISNUMBER(STDEV(BH8:BH18)),STDEV(BH8:BH18),"-")</f>
        <v>2.2377035101709781</v>
      </c>
      <c r="BI21" s="253">
        <f>IF(ISNUMBER(STDEV(BI8:BI18)),STDEV(BI8:BI18),"-")</f>
        <v>0.11088539511508154</v>
      </c>
      <c r="BJ21" s="234" t="str">
        <f>IF(ISNUMBER(BL21/BM21),BL21/BM21," - ")</f>
        <v xml:space="preserve"> - </v>
      </c>
      <c r="BK21" s="626"/>
      <c r="BL21" s="607">
        <f>IF(ISNUMBER(STDEV(BL8:BL18)),STDEV(BL8:BL18),"-")</f>
        <v>0.26029966821520845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JHXRiYgT3H83EkwFpJKbDv1O3QlwZIt1FdYJG+WPYp9mbepqHB5QP5e8vniHfVl/SJ+kSpDfAy0KP7OVz+szg==" saltValue="B7KaB0rlpWBU2+88gnyc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LUGO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350</v>
      </c>
      <c r="B5" s="276"/>
      <c r="C5" s="1697" t="str">
        <f>"Año:  " &amp;Criterios!B$5 &amp; "          Trimestre   " &amp;Criterios!D$5 &amp; " al " &amp;Criterios!D$6</f>
        <v>Año:  2023          Trimestre   2 al 2</v>
      </c>
      <c r="D5" s="1699" t="s">
        <v>376</v>
      </c>
      <c r="E5" s="1656" t="s">
        <v>559</v>
      </c>
      <c r="F5" s="1667" t="s">
        <v>406</v>
      </c>
      <c r="G5" s="1656" t="s">
        <v>128</v>
      </c>
      <c r="H5" s="1656" t="s">
        <v>589</v>
      </c>
      <c r="I5" s="1656" t="s">
        <v>560</v>
      </c>
      <c r="J5" s="1656" t="s">
        <v>686</v>
      </c>
      <c r="K5" s="1656" t="s">
        <v>561</v>
      </c>
      <c r="L5" s="1656" t="s">
        <v>587</v>
      </c>
      <c r="M5" s="1656" t="s">
        <v>687</v>
      </c>
      <c r="N5" s="1656" t="s">
        <v>586</v>
      </c>
      <c r="O5" s="1656" t="s">
        <v>613</v>
      </c>
      <c r="P5" s="1662" t="s">
        <v>679</v>
      </c>
      <c r="Q5" s="1662" t="s">
        <v>681</v>
      </c>
      <c r="R5" s="1656" t="s">
        <v>593</v>
      </c>
      <c r="S5" s="1656" t="s">
        <v>562</v>
      </c>
      <c r="T5" s="1656" t="s">
        <v>774</v>
      </c>
      <c r="U5" s="1656" t="s">
        <v>775</v>
      </c>
      <c r="V5" s="1676" t="s">
        <v>670</v>
      </c>
      <c r="W5" s="1673" t="s">
        <v>575</v>
      </c>
      <c r="X5" s="1691" t="s">
        <v>576</v>
      </c>
      <c r="Y5" s="1694" t="s">
        <v>594</v>
      </c>
      <c r="Z5" s="1694" t="s">
        <v>614</v>
      </c>
      <c r="AA5" s="1656" t="s">
        <v>566</v>
      </c>
      <c r="AB5" s="1656" t="s">
        <v>577</v>
      </c>
      <c r="AC5" s="1656" t="s">
        <v>578</v>
      </c>
      <c r="AD5" s="1656" t="s">
        <v>532</v>
      </c>
      <c r="AE5" s="1656" t="s">
        <v>688</v>
      </c>
      <c r="AF5" s="1656" t="s">
        <v>180</v>
      </c>
      <c r="AG5" s="1656" t="s">
        <v>579</v>
      </c>
      <c r="AH5" s="1656" t="s">
        <v>567</v>
      </c>
      <c r="AI5" s="1656" t="s">
        <v>568</v>
      </c>
      <c r="AJ5" s="1656" t="s">
        <v>580</v>
      </c>
      <c r="AK5" s="1656" t="s">
        <v>581</v>
      </c>
      <c r="AL5" s="1656" t="s">
        <v>582</v>
      </c>
      <c r="AM5" s="1688" t="s">
        <v>583</v>
      </c>
      <c r="AN5" s="1656" t="s">
        <v>248</v>
      </c>
      <c r="AO5" s="1656" t="s">
        <v>570</v>
      </c>
      <c r="AP5" s="1656" t="s">
        <v>571</v>
      </c>
      <c r="AQ5" s="1656" t="s">
        <v>595</v>
      </c>
      <c r="AR5" s="1656" t="s">
        <v>596</v>
      </c>
      <c r="AS5" s="1656" t="s">
        <v>598</v>
      </c>
      <c r="AT5" s="1656" t="s">
        <v>591</v>
      </c>
      <c r="AU5" s="1656" t="s">
        <v>842</v>
      </c>
      <c r="AV5" s="1656" t="s">
        <v>332</v>
      </c>
      <c r="AW5" s="1656" t="s">
        <v>584</v>
      </c>
      <c r="AX5" s="1656" t="s">
        <v>537</v>
      </c>
      <c r="BU5" s="1656" t="s">
        <v>776</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601</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560</v>
      </c>
      <c r="AA9" s="505" t="str">
        <f>IF(ISNUMBER(IF(J_V="SI",Datos!L9,Datos!L9+Datos!AB9)-IF(Monitorios="SI",Datos!CD9,0)),
                          IF(J_V="SI",Datos!L9,Datos!L9+Datos!AB9)-IF(Monitorios="SI",Datos!CD9,0),
                          " - ")</f>
        <v xml:space="preserve"> - </v>
      </c>
      <c r="AB9" s="503"/>
      <c r="AC9" s="503"/>
      <c r="AD9" s="516"/>
      <c r="AE9" s="516">
        <f>IF(ISNUMBER(Datos!R9),Datos!R9," - ")</f>
        <v>4802</v>
      </c>
      <c r="AF9" s="619" t="str">
        <f>IF(ISNUMBER(Datos!BV9),Datos!BV9," - ")</f>
        <v xml:space="preserve"> - </v>
      </c>
      <c r="AG9" s="506" t="str">
        <f>IF(ISNUMBER(Datos!DV9),Datos!DV9," - ")</f>
        <v xml:space="preserve"> - </v>
      </c>
      <c r="AH9" s="507"/>
      <c r="AI9" s="508"/>
      <c r="AJ9" s="506">
        <f>IF(ISNUMBER(Datos!M9),Datos!M9," - ")</f>
        <v>641</v>
      </c>
      <c r="AK9" s="619">
        <f>IF(ISNUMBER(Datos!N9),Datos!N9," - ")</f>
        <v>829</v>
      </c>
      <c r="AL9" s="619" t="str">
        <f>IF(ISNUMBER(Datos!BW9),Datos!BW9," - ")</f>
        <v xml:space="preserve"> - </v>
      </c>
      <c r="AM9" s="667" t="str">
        <f>IF(ISNUMBER(Datos!BX9),Datos!BX9," - ")</f>
        <v xml:space="preserve"> - </v>
      </c>
      <c r="AN9" s="668"/>
      <c r="AO9" s="669">
        <f>IF(ISNUMBER(((NºAsuntos!I9/NºAsuntos!G9)*11)/factor_trimestre),((NºAsuntos!I9/NºAsuntos!G9)*11)/factor_trimestre," - ")</f>
        <v>5.2152624614027348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8.6116362108800675E-3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245</v>
      </c>
      <c r="C10" s="654" t="str">
        <f>Datos!A10</f>
        <v>Jdos. Violencia contra la mujer</v>
      </c>
      <c r="D10" s="548"/>
      <c r="E10" s="1333">
        <f>IF(ISNUMBER(Datos!AQ10),Datos!AQ10," - ")</f>
        <v>0</v>
      </c>
      <c r="F10" s="506">
        <f>IF(ISNUMBER(Datos!L10+Datos!K10-Datos!J10),Datos!L10+Datos!K10-Datos!J10," - ")</f>
        <v>98</v>
      </c>
      <c r="G10" s="506">
        <f>IF(ISNUMBER(Datos!I10),Datos!I10," - ")</f>
        <v>98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0</v>
      </c>
      <c r="AA10" s="505">
        <f>IF(ISNUMBER(Datos!L10),Datos!L10,"-")</f>
        <v>84</v>
      </c>
      <c r="AB10" s="503"/>
      <c r="AC10" s="503"/>
      <c r="AD10" s="516"/>
      <c r="AE10" s="516">
        <f>IF(ISNUMBER(Datos!R10),Datos!R10," - ")</f>
        <v>91</v>
      </c>
      <c r="AF10" s="619" t="str">
        <f>IF(ISNUMBER(Datos!BV10),Datos!BV10," - ")</f>
        <v xml:space="preserve"> - </v>
      </c>
      <c r="AG10" s="506" t="str">
        <f>IF(ISNUMBER(Datos!DV10),Datos!DV10," - ")</f>
        <v xml:space="preserve"> - </v>
      </c>
      <c r="AH10" s="507"/>
      <c r="AI10" s="508"/>
      <c r="AJ10" s="506">
        <f>IF(ISNUMBER(Datos!M10),Datos!M10," - ")</f>
        <v>27</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5.8139534883720929E-2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0</v>
      </c>
      <c r="AA11" s="505" t="str">
        <f>IF(ISNUMBER(IF(J_V="SI",Datos!L11,Datos!L11+Datos!AB11)-IF(Monitorios="SI",Datos!CD11,0)),
                          IF(J_V="SI",Datos!L11,Datos!L11+Datos!AB11)-IF(Monitorios="SI",Datos!CD11,0),
                          " - ")</f>
        <v xml:space="preserve"> - </v>
      </c>
      <c r="AB11" s="503"/>
      <c r="AC11" s="503"/>
      <c r="AD11" s="516"/>
      <c r="AE11" s="516">
        <f>IF(ISNUMBER(Datos!R11),Datos!R11," - ")</f>
        <v>4</v>
      </c>
      <c r="AF11" s="619" t="str">
        <f>IF(ISNUMBER(Datos!BV11),Datos!BV11," - ")</f>
        <v xml:space="preserve"> - </v>
      </c>
      <c r="AG11" s="506" t="str">
        <f>IF(ISNUMBER(Datos!DV11),Datos!DV11," - ")</f>
        <v xml:space="preserve"> - </v>
      </c>
      <c r="AH11" s="507"/>
      <c r="AI11" s="508"/>
      <c r="AJ11" s="506">
        <f>IF(ISNUMBER(Datos!M11),Datos!M11," - ")</f>
        <v>44</v>
      </c>
      <c r="AK11" s="619">
        <f>IF(ISNUMBER(Datos!N11),Datos!N11," - ")</f>
        <v>147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2.8953488372093026</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v>
      </c>
      <c r="AA12" s="505" t="str">
        <f>IF(ISNUMBER(IF(J_V="SI",Datos!L12,Datos!L12+Datos!AB12)-IF(Monitorios="SI",Datos!CD12,0)),
                          IF(J_V="SI",Datos!L12,Datos!L12+Datos!AB12)-IF(Monitorios="SI",Datos!CD12,0),
                          " - ")</f>
        <v xml:space="preserve"> - </v>
      </c>
      <c r="AB12" s="503"/>
      <c r="AC12" s="503"/>
      <c r="AD12" s="516"/>
      <c r="AE12" s="516">
        <f>IF(ISNUMBER(Datos!R12),Datos!R12," - ")</f>
        <v>392</v>
      </c>
      <c r="AF12" s="619" t="str">
        <f>IF(ISNUMBER(Datos!BV12),Datos!BV12," - ")</f>
        <v xml:space="preserve"> - </v>
      </c>
      <c r="AG12" s="506" t="str">
        <f>IF(ISNUMBER(Datos!DV12),Datos!DV12," - ")</f>
        <v xml:space="preserve"> - </v>
      </c>
      <c r="AH12" s="507"/>
      <c r="AI12" s="508"/>
      <c r="AJ12" s="506">
        <f>IF(ISNUMBER(Datos!M12),Datos!M12," - ")</f>
        <v>0</v>
      </c>
      <c r="AK12" s="619">
        <f>IF(ISNUMBER(Datos!N12),Datos!N12," - ")</f>
        <v>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-1.507537688442211E-2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98</v>
      </c>
      <c r="G13" s="1044">
        <f>SUBTOTAL(9,G8:G12)</f>
        <v>98</v>
      </c>
      <c r="H13" s="1054"/>
      <c r="I13" s="1044">
        <f t="shared" ref="I13:N13" si="0">SUBTOTAL(9,I8:I12)</f>
        <v>0</v>
      </c>
      <c r="J13" s="1013">
        <f t="shared" si="0"/>
        <v>0</v>
      </c>
      <c r="K13" s="1054">
        <f t="shared" si="0"/>
        <v>0</v>
      </c>
      <c r="L13" s="1054">
        <f t="shared" si="0"/>
        <v>0</v>
      </c>
      <c r="M13" s="1054">
        <f t="shared" si="0"/>
        <v>0</v>
      </c>
      <c r="N13" s="1054">
        <f t="shared" si="0"/>
        <v>611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567</v>
      </c>
      <c r="AA13" s="1046">
        <f t="shared" si="2"/>
        <v>84</v>
      </c>
      <c r="AB13" s="1046">
        <f t="shared" si="2"/>
        <v>0</v>
      </c>
      <c r="AC13" s="1046">
        <f t="shared" si="2"/>
        <v>0</v>
      </c>
      <c r="AD13" s="1046">
        <f t="shared" si="2"/>
        <v>0</v>
      </c>
      <c r="AE13" s="1046">
        <f t="shared" si="2"/>
        <v>5289</v>
      </c>
      <c r="AF13" s="1054">
        <f t="shared" si="2"/>
        <v>0</v>
      </c>
      <c r="AG13" s="1054">
        <f t="shared" si="2"/>
        <v>0</v>
      </c>
      <c r="AH13" s="1054">
        <f t="shared" si="2"/>
        <v>0</v>
      </c>
      <c r="AI13" s="1054">
        <f t="shared" si="2"/>
        <v>0</v>
      </c>
      <c r="AJ13" s="1054">
        <f t="shared" si="2"/>
        <v>712</v>
      </c>
      <c r="AK13" s="1054">
        <f t="shared" si="2"/>
        <v>990</v>
      </c>
      <c r="AL13" s="1054">
        <f t="shared" si="2"/>
        <v>0</v>
      </c>
      <c r="AM13" s="1054">
        <f t="shared" si="2"/>
        <v>0</v>
      </c>
      <c r="AN13" s="1054">
        <f t="shared" si="2"/>
        <v>0</v>
      </c>
      <c r="AO13" s="1050">
        <f>IF(ISNUMBER(((NºAsuntos!I13/NºAsuntos!G13)*11)/factor_trimestre),((NºAsuntos!I13/NºAsuntos!G13)*11)/factor_trimestre," - ")</f>
        <v>5.0258519388954177</v>
      </c>
      <c r="AP13" s="1056" t="str">
        <f>IF(ISNUMBER(Datos!CI13/Datos!CJ13),Datos!CI13/Datos!CJ13," - ")</f>
        <v xml:space="preserve"> - </v>
      </c>
      <c r="AQ13" s="1074">
        <f t="shared" ref="AQ13:AV13" si="3">SUBTOTAL(9,AQ9:AQ12)</f>
        <v>0</v>
      </c>
      <c r="AR13" s="1074">
        <f t="shared" si="3"/>
        <v>5.1675794210178885E-2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396</v>
      </c>
      <c r="C15" s="670" t="str">
        <f>Datos!A15</f>
        <v xml:space="preserve">Jdos. Instrucción                               </v>
      </c>
      <c r="D15" s="543"/>
      <c r="E15" s="1333">
        <f>IF(ISNUMBER(Datos!AQ15),Datos!AQ15," - ")</f>
        <v>3</v>
      </c>
      <c r="F15" s="497">
        <f>IF(ISNUMBER(AA15+Y15-Datos!J15-K15),AA15+Y15-Datos!J15-K15," - ")</f>
        <v>2127</v>
      </c>
      <c r="G15" s="506">
        <f>IF(ISNUMBER(IF(D_I="SI",Datos!I15,Datos!I15+Datos!AC15)),IF(D_I="SI",Datos!I15,Datos!I15+Datos!AC15)," - ")</f>
        <v>2127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45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1249</v>
      </c>
      <c r="Z15" s="703">
        <f>IF(ISNUMBER(Datos!Q15),Datos!Q15," - ")</f>
        <v>70</v>
      </c>
      <c r="AA15" s="505">
        <f>IF(ISNUMBER(IF(D_I="SI",Datos!L15,Datos!L15+Datos!AF15)),IF(D_I="SI",Datos!L15,Datos!L15+Datos!AF15)," - ")</f>
        <v>2212</v>
      </c>
      <c r="AB15" s="503"/>
      <c r="AC15" s="503"/>
      <c r="AD15" s="516"/>
      <c r="AE15" s="516">
        <f>IF(ISNUMBER(Datos!R15),Datos!R15," - ")</f>
        <v>216</v>
      </c>
      <c r="AF15" s="619" t="str">
        <f>IF(ISNUMBER(Datos!BV15),Datos!BV15," - ")</f>
        <v xml:space="preserve"> - </v>
      </c>
      <c r="AG15" s="506"/>
      <c r="AH15" s="507"/>
      <c r="AI15" s="508"/>
      <c r="AJ15" s="506">
        <f>IF(ISNUMBER(Datos!M15),Datos!M15," - ")</f>
        <v>194</v>
      </c>
      <c r="AK15" s="619">
        <f>IF(ISNUMBER(Datos!N15),Datos!N15," - ")</f>
        <v>600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5.3130504403522822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396</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183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120</v>
      </c>
      <c r="Z17" s="703">
        <f>IF(ISNUMBER(Datos!Q17),Datos!Q17," - ")</f>
        <v>0</v>
      </c>
      <c r="AA17" s="505">
        <f>IF(ISNUMBER(Datos!L17),Datos!L17,"-")</f>
        <v>164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70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4.1000000000000005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2127</v>
      </c>
      <c r="G18" s="1044">
        <f>SUBTOTAL(9,G15:G17)</f>
        <v>2310</v>
      </c>
      <c r="H18" s="1078">
        <f>SUBTOTAL(9,H15:H17)</f>
        <v>0</v>
      </c>
      <c r="I18" s="1057">
        <f>SUBTOTAL(9,I15:I17)</f>
        <v>0</v>
      </c>
      <c r="J18" s="1013">
        <f>SUBTOTAL(9,J14:J17)</f>
        <v>0</v>
      </c>
      <c r="K18" s="1078">
        <f t="shared" ref="K18:S18" si="4">SUBTOTAL(9,K15:K17)</f>
        <v>0</v>
      </c>
      <c r="L18" s="1078">
        <f t="shared" si="4"/>
        <v>0</v>
      </c>
      <c r="M18" s="1078">
        <f t="shared" si="4"/>
        <v>0</v>
      </c>
      <c r="N18" s="1078">
        <f t="shared" si="4"/>
        <v>45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1369</v>
      </c>
      <c r="Z18" s="1078">
        <f t="shared" si="5"/>
        <v>70</v>
      </c>
      <c r="AA18" s="1078">
        <f t="shared" si="5"/>
        <v>2376</v>
      </c>
      <c r="AB18" s="1078">
        <f t="shared" si="5"/>
        <v>0</v>
      </c>
      <c r="AC18" s="1078">
        <f t="shared" si="5"/>
        <v>0</v>
      </c>
      <c r="AD18" s="1078">
        <f t="shared" si="5"/>
        <v>0</v>
      </c>
      <c r="AE18" s="1078">
        <f t="shared" si="5"/>
        <v>216</v>
      </c>
      <c r="AF18" s="1078">
        <f t="shared" si="5"/>
        <v>0</v>
      </c>
      <c r="AG18" s="1078">
        <f t="shared" si="5"/>
        <v>0</v>
      </c>
      <c r="AH18" s="1078">
        <f t="shared" si="5"/>
        <v>0</v>
      </c>
      <c r="AI18" s="1078">
        <f t="shared" si="5"/>
        <v>0</v>
      </c>
      <c r="AJ18" s="1078">
        <f t="shared" si="5"/>
        <v>195</v>
      </c>
      <c r="AK18" s="1078">
        <f t="shared" si="5"/>
        <v>670</v>
      </c>
      <c r="AL18" s="1078">
        <f t="shared" si="5"/>
        <v>0</v>
      </c>
      <c r="AM18" s="1078">
        <f t="shared" si="5"/>
        <v>0</v>
      </c>
      <c r="AN18" s="1078">
        <f t="shared" si="5"/>
        <v>0</v>
      </c>
      <c r="AO18" s="1080">
        <f>IF(ISNUMBER(((NºAsuntos!I18/NºAsuntos!G18)*11)/factor_trimestre),((NºAsuntos!I18/NºAsuntos!G18)*11)/factor_trimestre," - ")</f>
        <v>5.2067202337472613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9</v>
      </c>
      <c r="F19" s="966">
        <f t="shared" si="7"/>
        <v>2225</v>
      </c>
      <c r="G19" s="966">
        <f t="shared" si="7"/>
        <v>2408</v>
      </c>
      <c r="H19" s="967">
        <f t="shared" si="7"/>
        <v>0</v>
      </c>
      <c r="I19" s="966">
        <f t="shared" si="7"/>
        <v>0</v>
      </c>
      <c r="J19" s="968">
        <f t="shared" si="7"/>
        <v>0</v>
      </c>
      <c r="K19" s="966">
        <f t="shared" si="7"/>
        <v>0</v>
      </c>
      <c r="L19" s="969">
        <f t="shared" si="7"/>
        <v>0</v>
      </c>
      <c r="M19" s="966">
        <f t="shared" si="7"/>
        <v>0</v>
      </c>
      <c r="N19" s="967">
        <f t="shared" si="7"/>
        <v>656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1396</v>
      </c>
      <c r="Z19" s="973">
        <f t="shared" si="8"/>
        <v>637</v>
      </c>
      <c r="AA19" s="974">
        <f t="shared" si="8"/>
        <v>2460</v>
      </c>
      <c r="AB19" s="974">
        <f t="shared" si="8"/>
        <v>0</v>
      </c>
      <c r="AC19" s="974">
        <f t="shared" si="8"/>
        <v>0</v>
      </c>
      <c r="AD19" s="975">
        <f t="shared" si="8"/>
        <v>0</v>
      </c>
      <c r="AE19" s="975">
        <f t="shared" si="8"/>
        <v>5505</v>
      </c>
      <c r="AF19" s="976">
        <f t="shared" si="8"/>
        <v>0</v>
      </c>
      <c r="AG19" s="977">
        <f t="shared" si="8"/>
        <v>0</v>
      </c>
      <c r="AH19" s="978">
        <f t="shared" si="8"/>
        <v>0</v>
      </c>
      <c r="AI19" s="976">
        <f t="shared" si="8"/>
        <v>0</v>
      </c>
      <c r="AJ19" s="966">
        <f t="shared" si="8"/>
        <v>907</v>
      </c>
      <c r="AK19" s="966">
        <f t="shared" si="8"/>
        <v>1660</v>
      </c>
      <c r="AL19" s="966">
        <f t="shared" si="8"/>
        <v>0</v>
      </c>
      <c r="AM19" s="979">
        <f t="shared" si="8"/>
        <v>0</v>
      </c>
      <c r="AN19" s="969">
        <f>IF(ISNUMBER(Datos!K19/Datos!J19),Datos!K19/Datos!J19," - ")</f>
        <v>0.84624413145539901</v>
      </c>
      <c r="AO19" s="969">
        <f>IF(ISNUMBER(FIND("06",Criterios!A8,1)),(IF(ISNUMBER(((Datos!R19/Datos!Q19)*11)/factor_trimestre),((Datos!R19/Datos!Q19)*11)/factor_trimestre," - ")),(IF(ISNUMBER(((Datos!L19/Datos!K19)*11)/factor_trimestre),((Datos!L19/Datos!K19)*11)/factor_trimestre," - ")))</f>
        <v>5.4066574202496529</v>
      </c>
      <c r="AP19" s="980" t="str">
        <f>IF(ISNUMBER(Datos!CI19/Datos!CJ19),Datos!CI19/Datos!CJ19," - ")</f>
        <v xml:space="preserve"> - </v>
      </c>
      <c r="AQ19" s="980">
        <f>IF(OR(ISNUMBER(FIND("01",Criterios!A8,1)),ISNUMBER(FIND("02",Criterios!A8,1)),ISNUMBER(FIND("03",Criterios!A8,1)),ISNUMBER(FIND("04",Criterios!A8,1))),(J19-Y19+K19)/(F19-K19),(I19-Y19+K19)/(F19-K19))</f>
        <v>-0.62741573033707865</v>
      </c>
      <c r="AR19" s="980">
        <f>IF(ISNUMBER((Datos!P19-Datos!Q19+O19)/(Datos!R19-Datos!P19+Datos!Q19-O19)),(Datos!P19-Datos!Q19+O19)/(Datos!R19-Datos!P19+Datos!Q19-O19)," - ")</f>
        <v>3.4633612832664965E-3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963.2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1171.4436961857507</v>
      </c>
      <c r="G21" s="600">
        <f>IF(ISNUMBER(STDEV(G8:G18)),STDEV(G8:G18),"-")</f>
        <v>1148.2764040073278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289.04460851966383</v>
      </c>
      <c r="AK21" s="256"/>
      <c r="AL21" s="256">
        <f>IF(ISNUMBER(STDEV(AL8:AL18)),STDEV(AL8:AL18),"-")</f>
        <v>0</v>
      </c>
      <c r="AM21" s="258">
        <f>IF(ISNUMBER(STDEV(AM8:AM18)),STDEV(AM8:AM18),"-")</f>
        <v>0</v>
      </c>
      <c r="AN21" s="586">
        <f>IF(ISNUMBER(STDEV(AN8:AN18)),STDEV(AN8:AN18),"-")</f>
        <v>0</v>
      </c>
      <c r="AO21" s="587">
        <f>IF(ISNUMBER(STDEV(AO8:AO18)),STDEV(AO8:AO18),"-")</f>
        <v>2.2541935752935092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JIq+1XTnNhBsNL74YI8gVXNROnosfGUZTH2aijoPEF1aRG3t+Y+ar7WRLMeESBO360Ow4RBWuanbmvaIMhPOg==" saltValue="iio3d6VwJI7yPHSzAGi9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UhyuKZICe93iLQGjS42n4XtKQZ3DYxHWtCrY8gxcWLel1tNFP6ACpCHdw12aHTuR0PMxao8WvmpOcvoi9h5VqQ==" saltValue="4/oRU3aPeXTyoBbfQLd+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272</v>
      </c>
      <c r="CF4" s="1603"/>
      <c r="CG4" s="1603"/>
      <c r="CH4" s="1604"/>
    </row>
    <row r="5" spans="1:155" ht="12.75" customHeight="1" thickBot="1">
      <c r="A5" s="1572" t="str">
        <f>"Año:  " &amp;Criterios!B5 &amp; "                  Trimestre   " &amp;Criterios!D5 &amp; " al " &amp;Criterios!D6</f>
        <v>Año:  2023                  Trimestre   2 al 2</v>
      </c>
      <c r="B5" s="1574" t="s">
        <v>399</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152</v>
      </c>
      <c r="AT5" s="1558" t="s">
        <v>153</v>
      </c>
      <c r="AU5" s="1558" t="s">
        <v>237</v>
      </c>
      <c r="AV5" s="1558" t="s">
        <v>235</v>
      </c>
      <c r="AW5" s="1558" t="s">
        <v>238</v>
      </c>
      <c r="AX5" s="1558" t="s">
        <v>236</v>
      </c>
      <c r="AY5" s="1566" t="s">
        <v>108</v>
      </c>
      <c r="AZ5" s="1567"/>
      <c r="BA5" s="1567"/>
      <c r="BB5" s="1567"/>
      <c r="BC5" s="1568"/>
      <c r="BD5" s="1566" t="s">
        <v>109</v>
      </c>
      <c r="BE5" s="1608"/>
      <c r="BF5" s="1608"/>
      <c r="BG5" s="1609"/>
      <c r="BH5" s="1555" t="s">
        <v>143</v>
      </c>
      <c r="BI5" s="1555" t="s">
        <v>144</v>
      </c>
      <c r="BJ5" s="1563" t="s">
        <v>210</v>
      </c>
      <c r="BK5" s="1616" t="s">
        <v>213</v>
      </c>
      <c r="BL5" s="1616" t="s">
        <v>220</v>
      </c>
      <c r="BM5" s="1560" t="s">
        <v>316</v>
      </c>
      <c r="BN5" s="1460" t="s">
        <v>199</v>
      </c>
      <c r="BO5" s="1461"/>
      <c r="BP5" s="1460" t="s">
        <v>200</v>
      </c>
      <c r="BQ5" s="1461"/>
      <c r="BR5" s="1460" t="s">
        <v>201</v>
      </c>
      <c r="BS5" s="1461"/>
      <c r="BT5" s="1460" t="s">
        <v>202</v>
      </c>
      <c r="BU5" s="1461"/>
      <c r="BV5" s="1613" t="s">
        <v>271</v>
      </c>
      <c r="BW5" s="1619" t="s">
        <v>251</v>
      </c>
      <c r="BX5" s="1619" t="s">
        <v>252</v>
      </c>
      <c r="BY5" s="1605" t="s">
        <v>258</v>
      </c>
      <c r="BZ5" s="1605" t="s">
        <v>348</v>
      </c>
      <c r="CA5" s="1533" t="s">
        <v>287</v>
      </c>
      <c r="CB5" s="1533" t="s">
        <v>278</v>
      </c>
      <c r="CC5" s="1533" t="s">
        <v>279</v>
      </c>
      <c r="CD5" s="1533" t="s">
        <v>280</v>
      </c>
      <c r="CE5" s="1545" t="s">
        <v>291</v>
      </c>
      <c r="CF5" s="1545" t="s">
        <v>270</v>
      </c>
      <c r="CG5" s="1545" t="s">
        <v>268</v>
      </c>
      <c r="CH5" s="1545" t="s">
        <v>269</v>
      </c>
      <c r="CI5" s="1527" t="s">
        <v>293</v>
      </c>
      <c r="CJ5" s="1527" t="s">
        <v>294</v>
      </c>
      <c r="CK5" s="1530" t="s">
        <v>425</v>
      </c>
      <c r="CL5" s="1530" t="s">
        <v>426</v>
      </c>
      <c r="CM5" s="1530" t="s">
        <v>443</v>
      </c>
      <c r="CN5" s="1546" t="s">
        <v>369</v>
      </c>
      <c r="CO5" s="1546" t="s">
        <v>362</v>
      </c>
      <c r="CP5" s="1546" t="s">
        <v>368</v>
      </c>
      <c r="CQ5" s="1549" t="s">
        <v>367</v>
      </c>
      <c r="CR5" s="1549" t="s">
        <v>367</v>
      </c>
      <c r="CS5" s="1545" t="s">
        <v>388</v>
      </c>
      <c r="CT5" s="1545" t="s">
        <v>391</v>
      </c>
      <c r="CU5" s="1545" t="s">
        <v>228</v>
      </c>
      <c r="CV5" s="1545" t="s">
        <v>312</v>
      </c>
      <c r="CW5" s="1545" t="s">
        <v>332</v>
      </c>
      <c r="CX5" s="1545" t="s">
        <v>339</v>
      </c>
      <c r="CY5" s="1545" t="s">
        <v>436</v>
      </c>
      <c r="CZ5" s="1545" t="s">
        <v>437</v>
      </c>
      <c r="DA5" s="1545" t="s">
        <v>438</v>
      </c>
      <c r="DB5" s="1542" t="s">
        <v>193</v>
      </c>
      <c r="DC5" s="1542" t="s">
        <v>194</v>
      </c>
      <c r="DD5" s="1542" t="s">
        <v>195</v>
      </c>
      <c r="DE5" s="1552" t="s">
        <v>166</v>
      </c>
      <c r="DF5" s="1552" t="s">
        <v>407</v>
      </c>
      <c r="DG5" s="1545" t="s">
        <v>444</v>
      </c>
      <c r="DH5" s="1530" t="s">
        <v>425</v>
      </c>
      <c r="DI5" s="1530" t="s">
        <v>426</v>
      </c>
      <c r="DJ5" s="1530" t="s">
        <v>442</v>
      </c>
      <c r="DK5" s="1530" t="s">
        <v>476</v>
      </c>
      <c r="DL5" s="1530" t="s">
        <v>480</v>
      </c>
      <c r="DM5" s="1622" t="s">
        <v>529</v>
      </c>
      <c r="DN5" s="1622" t="s">
        <v>530</v>
      </c>
      <c r="DO5" s="1622" t="s">
        <v>531</v>
      </c>
      <c r="DP5" s="1622" t="s">
        <v>532</v>
      </c>
      <c r="DQ5" s="1622" t="s">
        <v>533</v>
      </c>
      <c r="DR5" s="1622" t="s">
        <v>534</v>
      </c>
      <c r="DS5" s="1622" t="s">
        <v>535</v>
      </c>
      <c r="DT5" s="1622" t="s">
        <v>536</v>
      </c>
      <c r="DU5" s="1623" t="s">
        <v>537</v>
      </c>
      <c r="DV5" s="1635" t="s">
        <v>538</v>
      </c>
      <c r="DW5" s="1632" t="s">
        <v>539</v>
      </c>
      <c r="DX5" s="1622" t="s">
        <v>540</v>
      </c>
      <c r="DY5" s="1629" t="s">
        <v>541</v>
      </c>
      <c r="DZ5" s="1632" t="s">
        <v>542</v>
      </c>
      <c r="EA5" s="1629" t="s">
        <v>543</v>
      </c>
      <c r="EB5" s="1626" t="s">
        <v>587</v>
      </c>
      <c r="EC5" s="1626" t="s">
        <v>588</v>
      </c>
      <c r="ED5" s="1626" t="s">
        <v>589</v>
      </c>
      <c r="EE5" s="1626" t="s">
        <v>622</v>
      </c>
      <c r="EF5" s="1626" t="s">
        <v>626</v>
      </c>
      <c r="EG5" s="1629" t="s">
        <v>624</v>
      </c>
      <c r="EH5" s="1629" t="s">
        <v>625</v>
      </c>
      <c r="EI5" s="1629" t="s">
        <v>591</v>
      </c>
      <c r="EJ5" s="1629" t="s">
        <v>592</v>
      </c>
      <c r="EK5" s="1641" t="s">
        <v>673</v>
      </c>
      <c r="EL5" s="1644" t="s">
        <v>689</v>
      </c>
      <c r="EM5" s="1645"/>
      <c r="EN5" s="1646"/>
      <c r="EO5" s="1542" t="s">
        <v>747</v>
      </c>
      <c r="EP5" s="1542" t="s">
        <v>749</v>
      </c>
      <c r="EQ5" s="1542" t="s">
        <v>750</v>
      </c>
      <c r="ER5" s="1542" t="s">
        <v>758</v>
      </c>
      <c r="ES5" s="1542" t="s">
        <v>760</v>
      </c>
      <c r="ET5" s="1638" t="s">
        <v>824</v>
      </c>
      <c r="EU5" s="1638" t="s">
        <v>825</v>
      </c>
      <c r="EV5" s="1539" t="s">
        <v>841</v>
      </c>
      <c r="EW5" s="1539" t="s">
        <v>846</v>
      </c>
      <c r="EX5" s="1536" t="s">
        <v>867</v>
      </c>
      <c r="EY5" s="1524" t="s">
        <v>880</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159</v>
      </c>
      <c r="BO6" s="1458" t="s">
        <v>160</v>
      </c>
      <c r="BP6" s="1458" t="s">
        <v>159</v>
      </c>
      <c r="BQ6" s="1458" t="s">
        <v>160</v>
      </c>
      <c r="BR6" s="1458" t="s">
        <v>159</v>
      </c>
      <c r="BS6" s="1458" t="s">
        <v>160</v>
      </c>
      <c r="BT6" s="1458" t="s">
        <v>159</v>
      </c>
      <c r="BU6" s="1458" t="s">
        <v>160</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746</v>
      </c>
      <c r="B7" s="1576"/>
      <c r="C7" s="1579"/>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690</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866</v>
      </c>
      <c r="EY8" s="487" t="s">
        <v>879</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Umg2YNw5EkSloI+WQTudicDvgKDm1OTxQb5pdr/XH4wTX4efo9Q8cS2+4hMQbHUiYNS83o09Wrs/h2i8oYGg==" saltValue="Tboctfg4BW5YXh6CKLop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LUGO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350</v>
      </c>
      <c r="B5" s="276"/>
      <c r="C5" s="1420" t="str">
        <f>"Año:  " &amp;Criterios!B$5 &amp; "          Trimestre   " &amp;Criterios!D$5 &amp; " al " &amp;Criterios!D$6</f>
        <v>Año:  2023          Trimestre   2 al 2</v>
      </c>
      <c r="D5" s="1656" t="s">
        <v>376</v>
      </c>
      <c r="E5" s="1656" t="s">
        <v>559</v>
      </c>
      <c r="F5" s="1667" t="s">
        <v>406</v>
      </c>
      <c r="G5" s="1656" t="s">
        <v>128</v>
      </c>
      <c r="H5" s="1656" t="s">
        <v>589</v>
      </c>
      <c r="I5" s="1656" t="s">
        <v>560</v>
      </c>
      <c r="J5" s="1656" t="s">
        <v>667</v>
      </c>
      <c r="K5" s="1656" t="s">
        <v>561</v>
      </c>
      <c r="L5" s="1656" t="s">
        <v>529</v>
      </c>
      <c r="M5" s="1659" t="s">
        <v>587</v>
      </c>
      <c r="N5" s="1656" t="s">
        <v>722</v>
      </c>
      <c r="O5" s="1656" t="s">
        <v>682</v>
      </c>
      <c r="P5" s="1656" t="s">
        <v>166</v>
      </c>
      <c r="Q5" s="1662" t="s">
        <v>679</v>
      </c>
      <c r="R5" s="1662" t="s">
        <v>723</v>
      </c>
      <c r="S5" s="1656" t="s">
        <v>590</v>
      </c>
      <c r="T5" s="1662" t="s">
        <v>562</v>
      </c>
      <c r="U5" s="1662" t="s">
        <v>774</v>
      </c>
      <c r="V5" s="1662" t="s">
        <v>775</v>
      </c>
      <c r="W5" s="1673" t="s">
        <v>612</v>
      </c>
      <c r="X5" s="1691" t="s">
        <v>563</v>
      </c>
      <c r="Y5" s="1673" t="s">
        <v>564</v>
      </c>
      <c r="Z5" s="1673" t="s">
        <v>565</v>
      </c>
      <c r="AA5" s="1656" t="s">
        <v>683</v>
      </c>
      <c r="AB5" s="1656" t="s">
        <v>688</v>
      </c>
      <c r="AC5" s="1656" t="s">
        <v>180</v>
      </c>
      <c r="AD5" s="1679" t="s">
        <v>178</v>
      </c>
      <c r="AE5" s="1656" t="s">
        <v>684</v>
      </c>
      <c r="AF5" s="1682" t="s">
        <v>685</v>
      </c>
      <c r="AG5" s="1685" t="s">
        <v>538</v>
      </c>
      <c r="AH5" s="1656" t="s">
        <v>539</v>
      </c>
      <c r="AI5" s="1656" t="s">
        <v>610</v>
      </c>
      <c r="AJ5" s="1688" t="s">
        <v>611</v>
      </c>
      <c r="AK5" s="1685" t="s">
        <v>181</v>
      </c>
      <c r="AL5" s="1656" t="s">
        <v>569</v>
      </c>
      <c r="AM5" s="1656" t="s">
        <v>246</v>
      </c>
      <c r="AN5" s="1656" t="s">
        <v>247</v>
      </c>
      <c r="AO5" s="1656" t="s">
        <v>248</v>
      </c>
      <c r="AP5" s="1656" t="s">
        <v>570</v>
      </c>
      <c r="AQ5" s="1656" t="s">
        <v>249</v>
      </c>
      <c r="AR5" s="1656" t="s">
        <v>571</v>
      </c>
      <c r="AS5" s="1656" t="s">
        <v>572</v>
      </c>
      <c r="AT5" s="1656" t="s">
        <v>573</v>
      </c>
      <c r="AU5" s="1656" t="s">
        <v>598</v>
      </c>
      <c r="AV5" s="1656" t="s">
        <v>591</v>
      </c>
      <c r="AW5" s="1656" t="s">
        <v>842</v>
      </c>
      <c r="AX5" s="1656" t="s">
        <v>845</v>
      </c>
      <c r="AY5" s="1656" t="s">
        <v>847</v>
      </c>
      <c r="AZ5" s="1656" t="s">
        <v>592</v>
      </c>
      <c r="BA5" s="1656" t="s">
        <v>880</v>
      </c>
      <c r="BB5" s="1656" t="s">
        <v>574</v>
      </c>
      <c r="BC5" s="1656" t="s">
        <v>537</v>
      </c>
      <c r="BW5" s="1656" t="s">
        <v>776</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0.2788875832354093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0.19720330129448563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ts/Y9MqLlKa7Go4n6Sm23l3gRFYUt0Y+WMOB8DYymfYoDUmyBTZztUXdxxwHYNF2i8CEmFlyJhmrk+Ch9nDCQ==" saltValue="rORtSRnoG2KVM2jO1MX8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uN/aLJi5GDaa1sg169F/pnhvaHKPyMVgb4EvhquT7Q3bEXSK/V5fFS131hH5ur6lzy5a5rFXClKpb2zLYmoong==" saltValue="Czmqc6VzmePykLM40Nad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LUGO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752</v>
      </c>
      <c r="L5" s="1346" t="s">
        <v>798</v>
      </c>
      <c r="M5" s="1346" t="s">
        <v>868</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3441</v>
      </c>
      <c r="D9" s="415">
        <f>IF(ISNUMBER(C9/Datos!BH9),C9/Datos!BH9," - ")</f>
        <v>688.2</v>
      </c>
      <c r="E9" s="414">
        <f>IF(ISNUMBER(IF(J_V="SI",Datos!J9,Datos!J9+Datos!Z9)),IF(J_V="SI",Datos!J9,Datos!J9+Datos!Z9)," - ")</f>
        <v>2764</v>
      </c>
      <c r="F9" s="415">
        <f>IF(ISNUMBER(E9/B9),E9/B9," - ")</f>
        <v>552.79999999999995</v>
      </c>
      <c r="G9" s="414">
        <f>IF(ISNUMBER(IF(J_V="SI",Datos!K9,Datos!K9+Datos!AA9)),IF(J_V="SI",Datos!K9,Datos!K9+Datos!AA9)," - ")</f>
        <v>2267</v>
      </c>
      <c r="H9" s="415">
        <f>IF(ISNUMBER(G9/B9),G9/B9," - ")</f>
        <v>453.4</v>
      </c>
      <c r="I9" s="414">
        <f>IF(ISNUMBER(IF(J_V="SI",Datos!L9,Datos!L9+Datos!AB9)),IF(J_V="SI",Datos!L9,Datos!L9+Datos!AB9)," - ")</f>
        <v>3941</v>
      </c>
      <c r="J9" s="415">
        <f>IF(ISNUMBER(I9/B9),I9/B9," - ")</f>
        <v>788.2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98</v>
      </c>
      <c r="D10" s="415">
        <f>IF(ISNUMBER(C10/Datos!BH10),C10/Datos!BH10," - ")</f>
        <v>98</v>
      </c>
      <c r="E10" s="414">
        <f>IF(ISNUMBER(Datos!J10),Datos!J10," - ")</f>
        <v>13</v>
      </c>
      <c r="F10" s="415">
        <f>IF(ISNUMBER(E10/B10),E10/B10," - ")</f>
        <v>13</v>
      </c>
      <c r="G10" s="414">
        <f>IF(ISNUMBER(Datos!K10),Datos!K10," - ")</f>
        <v>27</v>
      </c>
      <c r="H10" s="415">
        <f>IF(ISNUMBER(G10/B10),G10/B10," - ")</f>
        <v>27</v>
      </c>
      <c r="I10" s="414">
        <f>IF(ISNUMBER(Datos!L10),Datos!L10," - ")</f>
        <v>84</v>
      </c>
      <c r="J10" s="415">
        <f>IF(ISNUMBER(I10/B10),I10/B10," - ")</f>
        <v>84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141</v>
      </c>
      <c r="D11" s="415" t="str">
        <f>IF(ISNUMBER(C11/Datos!BH11),C11/Datos!BH11," - ")</f>
        <v xml:space="preserve"> - </v>
      </c>
      <c r="E11" s="414">
        <f>IF(ISNUMBER(IF(J_V="SI",Datos!J11,Datos!J11+Datos!Z11)),IF(J_V="SI",Datos!J11,Datos!J11+Datos!Z11)," - ")</f>
        <v>366</v>
      </c>
      <c r="F11" s="415">
        <f>IF(ISNUMBER(E11/B11),E11/B11," - ")</f>
        <v>366</v>
      </c>
      <c r="G11" s="414">
        <f>IF(ISNUMBER(IF(J_V="SI",Datos!K11,Datos!K11+Datos!AA11)),IF(J_V="SI",Datos!K11,Datos!K11+Datos!AA11)," - ")</f>
        <v>258</v>
      </c>
      <c r="H11" s="415">
        <f>IF(ISNUMBER(G11/B11),G11/B11," - ")</f>
        <v>258</v>
      </c>
      <c r="I11" s="414">
        <f>IF(ISNUMBER(IF(J_V="SI",Datos!L11,Datos!L11+Datos!AB11)),IF(J_V="SI",Datos!L11,Datos!L11+Datos!AB11)," - ")</f>
        <v>249</v>
      </c>
      <c r="J11" s="415">
        <f>IF(ISNUMBER(I11/B11),I11/B11," - ")</f>
        <v>249</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3</v>
      </c>
      <c r="D12" s="415" t="str">
        <f>IF(ISNUMBER(C12/Datos!BH12),C12/Datos!BH12," - ")</f>
        <v xml:space="preserve"> - </v>
      </c>
      <c r="E12" s="414">
        <f>IF(ISNUMBER(IF(J_V="SI",Datos!J12,Datos!J12+Datos!Z12)),IF(J_V="SI",Datos!J12,Datos!J12+Datos!Z12)," - ")</f>
        <v>1</v>
      </c>
      <c r="F12" s="415" t="str">
        <f>IF(ISNUMBER(E12/B12),E12/B12," - ")</f>
        <v xml:space="preserve"> - </v>
      </c>
      <c r="G12" s="414">
        <f>IF(ISNUMBER(IF(J_V="SI",Datos!K12,Datos!K12+Datos!AA12)),IF(J_V="SI",Datos!K12,Datos!K12+Datos!AA12)," - ")</f>
        <v>1</v>
      </c>
      <c r="H12" s="415" t="str">
        <f>IF(ISNUMBER(G12/B12),G12/B12," - ")</f>
        <v xml:space="preserve"> - </v>
      </c>
      <c r="I12" s="414">
        <f>IF(ISNUMBER(IF(J_V="SI",Datos!L12,Datos!L12+Datos!AB12)),IF(J_V="SI",Datos!L12,Datos!L12+Datos!AB12)," - ")</f>
        <v>3</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3683</v>
      </c>
      <c r="D13" s="996" t="str">
        <f>IF(ISNUMBER(C13/Datos!BI13),C13/Datos!BI13," - ")</f>
        <v xml:space="preserve"> - </v>
      </c>
      <c r="E13" s="995">
        <f>SUBTOTAL(9,E8:E12)</f>
        <v>3144</v>
      </c>
      <c r="F13" s="996">
        <f>IF(ISNUMBER(E13/B13),E13/B13," - ")</f>
        <v>524</v>
      </c>
      <c r="G13" s="995">
        <f>SUBTOTAL(9,G8:G12)</f>
        <v>2553</v>
      </c>
      <c r="H13" s="996">
        <f>IF(ISNUMBER(G13/B13),G13/B13," - ")</f>
        <v>425.5</v>
      </c>
      <c r="I13" s="995">
        <f>SUBTOTAL(9,I8:I12)</f>
        <v>4277</v>
      </c>
      <c r="J13" s="996">
        <f>IF(ISNUMBER(I13/B13),I13/B13," - ")</f>
        <v>712.83333333333337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2127</v>
      </c>
      <c r="D15" s="415">
        <f>IF(ISNUMBER(C15/Datos!BH15),C15/Datos!BH15," - ")</f>
        <v>709</v>
      </c>
      <c r="E15" s="414">
        <f>IF(ISNUMBER(IF(D_I="SI",Datos!J15,Datos!J15+Datos!AD15)),IF(D_I="SI",Datos!J15,Datos!J15+Datos!AD15)," - ")</f>
        <v>1334</v>
      </c>
      <c r="F15" s="415">
        <f>IF(ISNUMBER(E15/B15),E15/B15," - ")</f>
        <v>444.66666666666669</v>
      </c>
      <c r="G15" s="414">
        <f>IF(ISNUMBER(IF(D_I="SI",Datos!K15,Datos!K15+Datos!AE15)),IF(D_I="SI",Datos!K15,Datos!K15+Datos!AE15)," - ")</f>
        <v>1249</v>
      </c>
      <c r="H15" s="415">
        <f>IF(ISNUMBER(G15/B15),G15/B15," - ")</f>
        <v>416.33333333333331</v>
      </c>
      <c r="I15" s="414">
        <f>IF(ISNUMBER(IF(D_I="SI",Datos!L15,Datos!L15+Datos!AF15)),IF(D_I="SI",Datos!L15,Datos!L15+Datos!AF15)," - ")</f>
        <v>2212</v>
      </c>
      <c r="J15" s="415">
        <f>IF(ISNUMBER(I15/B15),I15/B15," - ")</f>
        <v>737.33333333333337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183</v>
      </c>
      <c r="D17" s="415">
        <f>IF(ISNUMBER(C17/Datos!BH17),C17/Datos!BH17," - ")</f>
        <v>183</v>
      </c>
      <c r="E17" s="414">
        <f>IF(ISNUMBER(IF(D_I="SI",Datos!J17,Datos!J17+Datos!AD17)),IF(D_I="SI",Datos!J17,Datos!J17+Datos!AD17)," - ")</f>
        <v>101</v>
      </c>
      <c r="F17" s="415">
        <f>IF(ISNUMBER(E17/B17),E17/B17," - ")</f>
        <v>101</v>
      </c>
      <c r="G17" s="414">
        <f>IF(ISNUMBER(IF(D_I="SI",Datos!K17,Datos!K17+Datos!AE17)),IF(D_I="SI",Datos!K17,Datos!K17+Datos!AE17)," - ")</f>
        <v>120</v>
      </c>
      <c r="H17" s="415">
        <f>IF(ISNUMBER(G17/B17),G17/B17," - ")</f>
        <v>120</v>
      </c>
      <c r="I17" s="414">
        <f>IF(ISNUMBER(IF(D_I="SI",Datos!L17,Datos!L17+Datos!AF17)),IF(D_I="SI",Datos!L17,Datos!L17+Datos!AF17)," - ")</f>
        <v>164</v>
      </c>
      <c r="J17" s="415">
        <f>IF(ISNUMBER(I17/B17),I17/B17," - ")</f>
        <v>164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2310</v>
      </c>
      <c r="D18" s="996" t="str">
        <f>IF(ISNUMBER(C18/Datos!BI18),C18/Datos!BI18," - ")</f>
        <v xml:space="preserve"> - </v>
      </c>
      <c r="E18" s="995">
        <f>SUBTOTAL(9,E14:E17)</f>
        <v>1435</v>
      </c>
      <c r="F18" s="996">
        <f>IF(ISNUMBER(E18/B18),E18/B18," - ")</f>
        <v>478.33333333333331</v>
      </c>
      <c r="G18" s="995">
        <f>SUBTOTAL(9,G14:G17)</f>
        <v>1369</v>
      </c>
      <c r="H18" s="996">
        <f>IF(ISNUMBER(G18/B18),G18/B18," - ")</f>
        <v>456.33333333333331</v>
      </c>
      <c r="I18" s="995">
        <f>SUBTOTAL(9,I14:I17)</f>
        <v>2376</v>
      </c>
      <c r="J18" s="996">
        <f>IF(ISNUMBER(I18/B18),I18/B18," - ")</f>
        <v>792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5993</v>
      </c>
      <c r="D19" s="941" t="str">
        <f>IF(ISNUMBER(C19/Datos!BI19),C19/Datos!BI19," - ")</f>
        <v xml:space="preserve"> - </v>
      </c>
      <c r="E19" s="940">
        <f>SUBTOTAL(9,E9:E18)</f>
        <v>4579</v>
      </c>
      <c r="F19" s="941">
        <f>IF(ISNUMBER(E19/B19),E19/B19," - ")</f>
        <v>508.77777777777777</v>
      </c>
      <c r="G19" s="940">
        <f>SUBTOTAL(9,G9:G18)</f>
        <v>3922</v>
      </c>
      <c r="H19" s="941">
        <f>IF(ISNUMBER(G19/B19),G19/B19," - ")</f>
        <v>435.77777777777777</v>
      </c>
      <c r="I19" s="940">
        <f>SUBTOTAL(9,I9:I18)</f>
        <v>6653</v>
      </c>
      <c r="J19" s="941">
        <f>IF(ISNUMBER(I19/B19),I19/B19," - ")</f>
        <v>739.22222222222217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WkN6GTjlH15OhOBX9fr07NqgClxLal07evUsF0snPPYPi/UxQ7PtcLBPtToI7IGHHfHmIShaoSPtFv52kGIQQ==" saltValue="CI2Z6iiZGYfAfNegQR1a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LUGO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350</v>
      </c>
      <c r="B5" s="276"/>
      <c r="C5" s="1420" t="str">
        <f>"Año:  " &amp;Criterios!B$5 &amp; "          Trimestre   " &amp;Criterios!D$5 &amp; " al " &amp;Criterios!D$6</f>
        <v>Año:  2023          Trimestre   2 al 2</v>
      </c>
      <c r="D5" s="1656" t="s">
        <v>424</v>
      </c>
      <c r="E5" s="1656" t="s">
        <v>559</v>
      </c>
      <c r="F5" s="1667" t="s">
        <v>406</v>
      </c>
      <c r="G5" s="1656" t="s">
        <v>128</v>
      </c>
      <c r="H5" s="1656" t="s">
        <v>696</v>
      </c>
      <c r="I5" s="1656" t="s">
        <v>697</v>
      </c>
      <c r="J5" s="1656" t="s">
        <v>700</v>
      </c>
      <c r="K5" s="1656" t="s">
        <v>701</v>
      </c>
      <c r="L5" s="1656" t="s">
        <v>587</v>
      </c>
      <c r="M5" s="1656" t="s">
        <v>722</v>
      </c>
      <c r="N5" s="1656" t="s">
        <v>702</v>
      </c>
      <c r="O5" s="1656" t="s">
        <v>698</v>
      </c>
      <c r="P5" s="1656" t="s">
        <v>166</v>
      </c>
      <c r="Q5" s="1656" t="s">
        <v>679</v>
      </c>
      <c r="R5" s="1656" t="s">
        <v>723</v>
      </c>
      <c r="S5" s="1656" t="str">
        <f>"Ingreso Computable 2003" &amp; IF(OR(EXACT(LEFT(boletin,2),"04"),EXACT(LEFT(boletin,2),"14"),EXACT(LEFT(boletin,2),"17"))," (Civil + Penal)","")</f>
        <v>Ingreso Computable 2003</v>
      </c>
      <c r="T5" s="1656" t="s">
        <v>699</v>
      </c>
      <c r="U5" s="1662" t="str">
        <f>"% Ingreso Computable 2003" &amp; IF(OR(EXACT(LEFT(boletin,2),"04"),EXACT(LEFT(boletin,2),"14"),EXACT(LEFT(boletin,2),"17"))," (Civil + Penal)","")</f>
        <v>% Ingreso Computable 2003</v>
      </c>
      <c r="V5" s="1662" t="s">
        <v>703</v>
      </c>
      <c r="W5" s="1656" t="s">
        <v>768</v>
      </c>
      <c r="X5" s="1656" t="s">
        <v>769</v>
      </c>
      <c r="Y5" s="1676" t="s">
        <v>670</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704</v>
      </c>
      <c r="AC5" s="1713" t="s">
        <v>705</v>
      </c>
      <c r="AD5" s="1713" t="s">
        <v>706</v>
      </c>
      <c r="AE5" s="1713" t="s">
        <v>707</v>
      </c>
      <c r="AF5" s="1656" t="s">
        <v>708</v>
      </c>
      <c r="AG5" s="1656" t="s">
        <v>709</v>
      </c>
      <c r="AH5" s="1656" t="s">
        <v>710</v>
      </c>
      <c r="AI5" s="1656" t="s">
        <v>711</v>
      </c>
      <c r="AJ5" s="1656" t="s">
        <v>180</v>
      </c>
      <c r="AK5" s="1685" t="s">
        <v>538</v>
      </c>
      <c r="AL5" s="1685" t="s">
        <v>181</v>
      </c>
      <c r="AM5" s="1656" t="s">
        <v>569</v>
      </c>
      <c r="AN5" s="1656" t="s">
        <v>246</v>
      </c>
      <c r="AO5" s="1656" t="s">
        <v>247</v>
      </c>
      <c r="AP5" s="1656" t="s">
        <v>712</v>
      </c>
      <c r="AQ5" s="1656" t="s">
        <v>713</v>
      </c>
      <c r="AR5" s="1656" t="s">
        <v>714</v>
      </c>
      <c r="AS5" s="1656" t="s">
        <v>715</v>
      </c>
      <c r="AT5" s="1656" t="s">
        <v>716</v>
      </c>
      <c r="AU5" s="1656" t="s">
        <v>717</v>
      </c>
      <c r="AV5" s="1656" t="s">
        <v>718</v>
      </c>
      <c r="AW5" s="1656" t="s">
        <v>719</v>
      </c>
      <c r="AX5" s="1656" t="s">
        <v>842</v>
      </c>
      <c r="AY5" s="1656" t="s">
        <v>845</v>
      </c>
      <c r="AZ5" s="1656" t="s">
        <v>720</v>
      </c>
      <c r="BA5" s="1656" t="s">
        <v>721</v>
      </c>
      <c r="BB5" s="1656" t="s">
        <v>537</v>
      </c>
      <c r="BC5" s="1482" t="s">
        <v>728</v>
      </c>
      <c r="BD5" s="1482" t="s">
        <v>729</v>
      </c>
      <c r="BE5" s="1667" t="s">
        <v>730</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245</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0</v>
      </c>
      <c r="F10" s="801">
        <f>IF(ISNUMBER(Datos!L10+Datos!K10-Datos!J10),Datos!L10+Datos!K10-Datos!J10," - ")</f>
        <v>98</v>
      </c>
      <c r="G10" s="802">
        <f>IF(ISNUMBER(Datos!I10),Datos!I10," - ")</f>
        <v>98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84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27</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-1.507537688442211E-2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98</v>
      </c>
      <c r="G13" s="1084">
        <f t="shared" si="0"/>
        <v>98</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7</v>
      </c>
      <c r="AE13" s="1085">
        <f t="shared" si="1"/>
        <v>0</v>
      </c>
      <c r="AF13" s="1085">
        <f t="shared" si="1"/>
        <v>84</v>
      </c>
      <c r="AG13" s="1085">
        <f t="shared" si="1"/>
        <v>0</v>
      </c>
      <c r="AH13" s="1085">
        <f t="shared" si="1"/>
        <v>392</v>
      </c>
      <c r="AI13" s="1085">
        <f t="shared" si="1"/>
        <v>0</v>
      </c>
      <c r="AJ13" s="1085">
        <f t="shared" si="1"/>
        <v>0</v>
      </c>
      <c r="AK13" s="1085">
        <f t="shared" si="1"/>
        <v>0</v>
      </c>
      <c r="AL13" s="1085">
        <f t="shared" si="1"/>
        <v>27</v>
      </c>
      <c r="AM13" s="1085">
        <f t="shared" si="1"/>
        <v>14</v>
      </c>
      <c r="AN13" s="1085">
        <f t="shared" si="1"/>
        <v>0</v>
      </c>
      <c r="AO13" s="1085">
        <f t="shared" si="1"/>
        <v>0</v>
      </c>
      <c r="AP13" s="1090">
        <f>IF(ISNUMBER(((Datos!L13/Datos!K13)*11)/factor_trimestre),((Datos!L13/Datos!K13)*11)/factor_trimestre," - ")</f>
        <v>5.5290697674418601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-0.27551020408163263</v>
      </c>
      <c r="AU13" s="1085" t="str">
        <f>IF(ISNUMBER((DatosP!#REF!-DatosP!#REF!+DatosP!#REF!)/(DatosP!#REF!+DatosP!#REF!-DatosP!#REF!-DatosP!#REF!)),(DatosP!#REF!-DatosP!#REF!+DatosP!#REF!)/(DatosP!#REF!+DatosP!#REF!-DatosP!#REF!-DatosP!#REF!)," - ")</f>
        <v xml:space="preserve"> - </v>
      </c>
      <c r="AV13" s="1091">
        <f>SUBTOTAL(9,AV9:AV12)</f>
        <v>-1.507537688442211E-2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5.2067202337472613</v>
      </c>
      <c r="AQ18" s="1090">
        <f>IF(ISNUMBER(((Datos!M18/Datos!L18)*11)/factor_trimestre),((Datos!M18/Datos!L18)*11)/factor_trimestre," - ")</f>
        <v>0.24621212121212122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-0.1037344398340249</v>
      </c>
      <c r="AW18" s="1092">
        <f>IF(ISNUMBER((Datos!Q18-Datos!R18)/(Datos!S18-Datos!Q18+Datos!R18)),(Datos!Q18-Datos!R18)/(Datos!S18-Datos!Q18+Datos!R18)," - ")</f>
        <v>-7.9694323144104809E-2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98</v>
      </c>
      <c r="G19" s="1097">
        <f t="shared" si="4"/>
        <v>98</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7</v>
      </c>
      <c r="AE19" s="1103">
        <f t="shared" si="5"/>
        <v>0</v>
      </c>
      <c r="AF19" s="1104">
        <f t="shared" si="5"/>
        <v>84</v>
      </c>
      <c r="AG19" s="1104">
        <f t="shared" si="5"/>
        <v>0</v>
      </c>
      <c r="AH19" s="1104">
        <f t="shared" si="5"/>
        <v>392</v>
      </c>
      <c r="AI19" s="1104">
        <f t="shared" si="5"/>
        <v>0</v>
      </c>
      <c r="AJ19" s="1105">
        <f t="shared" si="5"/>
        <v>0</v>
      </c>
      <c r="AK19" s="1105">
        <f t="shared" si="5"/>
        <v>0</v>
      </c>
      <c r="AL19" s="1097">
        <f t="shared" si="5"/>
        <v>27</v>
      </c>
      <c r="AM19" s="1097">
        <f t="shared" si="5"/>
        <v>14</v>
      </c>
      <c r="AN19" s="1097">
        <f t="shared" si="5"/>
        <v>0</v>
      </c>
      <c r="AO19" s="1097">
        <f t="shared" si="5"/>
        <v>0</v>
      </c>
      <c r="AP19" s="1097">
        <f>IF(ISNUMBER(((Datos!L19/Datos!K19)*11)/factor_trimestre),((Datos!L19/Datos!K19)*11)/factor_trimestre," - ")</f>
        <v>5.4066574202496529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-0.27551020408163263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3.4633612832664965E-3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2.7568097504180442</v>
      </c>
      <c r="F21" s="869">
        <f>IF(ISNUMBER(STDEV(F8:F18)),STDEV(F8:F18),"-")</f>
        <v>56.580326380583323</v>
      </c>
      <c r="G21" s="870">
        <f>IF(ISNUMBER(STDEV(G8:G18)),STDEV(G8:G18),"-")</f>
        <v>56.580326380583323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15.588457268119896</v>
      </c>
      <c r="AM21" s="869"/>
      <c r="AN21" s="869">
        <f>IF(ISNUMBER(STDEV(AN8:AN18)),STDEV(AN8:AN18),"-")</f>
        <v>0</v>
      </c>
      <c r="AO21" s="875">
        <f>IF(ISNUMBER(STDEV(AO8:AO18)),STDEV(AO8:AO18),"-")</f>
        <v>0</v>
      </c>
      <c r="AP21" s="922">
        <f>IF(ISNUMBER(STDEV(AP8:AP18)),STDEV(AP8:AP18),"-")</f>
        <v>2.2013765645950056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VpqXHdhUe77j0JapQsvq+f6iszl4Fe6pzWhK1KMoXCi825HvabxhOCvoG1r3jTBu1dxjdXBtS6fIogtHbF1xg==" saltValue="xFFK9/Q+r0YcXUnBBNld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217</v>
      </c>
      <c r="B3" s="402" t="str">
        <f>Criterios!A10 &amp;"  "&amp;Criterios!B10</f>
        <v>Provincias  LUGO</v>
      </c>
      <c r="C3" s="426"/>
      <c r="F3" s="399"/>
      <c r="G3" s="399"/>
      <c r="H3" s="399"/>
    </row>
    <row r="4" spans="1:15" ht="13.5" thickBot="1">
      <c r="A4" s="399"/>
      <c r="B4" s="402" t="str">
        <f>Criterios!A11 &amp;"  "&amp;Criterios!B11</f>
        <v>Resumenes por Partidos Judiciales  LUGO</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yj0oD7zfohh1bHORHZPSiL03ztEds7FuQFY8f2YD3IbvcpQcFXy1QELmOYHYDNeiVxjMZA8Hljl63SJMYZuPYw==" saltValue="oQUTVKzshKNpasSCo6KP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LUGO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641</v>
      </c>
      <c r="E9" s="415">
        <f t="shared" ref="E9:E13" si="0">IF(ISNUMBER(D9/B9),D9/B9," - ")</f>
        <v>128.19999999999999</v>
      </c>
      <c r="F9" s="414">
        <f>IF(ISNUMBER(Datos!N9),Datos!N9," - ")</f>
        <v>829</v>
      </c>
      <c r="G9" s="415">
        <f t="shared" ref="G9:G13" si="1">IF(ISNUMBER(F9/B9),F9/B9," - ")</f>
        <v>165.8</v>
      </c>
      <c r="H9" s="414">
        <f>IF(ISNUMBER(Datos!O9),Datos!O9," - ")</f>
        <v>1010</v>
      </c>
      <c r="I9" s="415">
        <f>IF(ISNUMBER(H9/B9),H9/B9," - ")</f>
        <v>202</v>
      </c>
    </row>
    <row r="10" spans="1:9">
      <c r="A10" s="413" t="str">
        <f>Datos!A10</f>
        <v>Jdos. Violencia contra la mujer</v>
      </c>
      <c r="B10" s="443">
        <f>Datos!AO10</f>
        <v>1</v>
      </c>
      <c r="C10" s="421">
        <f>Datos!AQ10</f>
        <v>0</v>
      </c>
      <c r="D10" s="414">
        <f>IF(ISNUMBER(Datos!M10),Datos!M10," - ")</f>
        <v>27</v>
      </c>
      <c r="E10" s="415">
        <f>IF(ISNUMBER(D10/B10),D10/B10," - ")</f>
        <v>27</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1</v>
      </c>
      <c r="C11" s="421">
        <f>Datos!AQ11</f>
        <v>1</v>
      </c>
      <c r="D11" s="414">
        <f>IF(ISNUMBER(Datos!M11),Datos!M11," - ")</f>
        <v>44</v>
      </c>
      <c r="E11" s="415">
        <f t="shared" si="0"/>
        <v>44</v>
      </c>
      <c r="F11" s="414">
        <f>IF(ISNUMBER(Datos!N11),Datos!N11," - ")</f>
        <v>147</v>
      </c>
      <c r="G11" s="415">
        <f t="shared" si="1"/>
        <v>147</v>
      </c>
      <c r="H11" s="414">
        <f>IF(ISNUMBER(Datos!O11),Datos!O11," - ")</f>
        <v>43</v>
      </c>
      <c r="I11" s="415">
        <f t="shared" si="2"/>
        <v>43</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14</v>
      </c>
      <c r="G12" s="415" t="str">
        <f t="shared" si="1"/>
        <v xml:space="preserve"> - </v>
      </c>
      <c r="H12" s="414">
        <f>IF(ISNUMBER(Datos!O12),Datos!O12," - ")</f>
        <v>2</v>
      </c>
      <c r="I12" s="415" t="str">
        <f t="shared" si="2"/>
        <v xml:space="preserve"> - </v>
      </c>
    </row>
    <row r="13" spans="1:9" ht="14.25" thickTop="1" thickBot="1">
      <c r="A13" s="994" t="str">
        <f>Datos!A13</f>
        <v>TOTAL</v>
      </c>
      <c r="B13" s="995">
        <f>Datos!AO13</f>
        <v>7</v>
      </c>
      <c r="C13" s="997">
        <f>Datos!AR13</f>
        <v>6</v>
      </c>
      <c r="D13" s="995">
        <f>SUBTOTAL(9,D9:D12)</f>
        <v>712</v>
      </c>
      <c r="E13" s="996">
        <f t="shared" si="0"/>
        <v>101.71428571428571</v>
      </c>
      <c r="F13" s="995">
        <f>SUBTOTAL(9,F9:F12)</f>
        <v>990</v>
      </c>
      <c r="G13" s="996">
        <f t="shared" si="1"/>
        <v>141.42857142857142</v>
      </c>
      <c r="H13" s="995">
        <f>SUBTOTAL(9,H9:H12)</f>
        <v>1055</v>
      </c>
      <c r="I13" s="996">
        <f>IF(ISNUMBER(H13/B13),H13/B13," - ")</f>
        <v>150.71428571428572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194</v>
      </c>
      <c r="E15" s="415">
        <f t="shared" ref="E15:E18" si="3">IF(ISNUMBER(D15/B15),D15/B15," - ")</f>
        <v>64.666666666666671</v>
      </c>
      <c r="F15" s="414">
        <f>IF(ISNUMBER(Datos!N15),Datos!N15," - ")</f>
        <v>600</v>
      </c>
      <c r="G15" s="415">
        <f t="shared" ref="G15:G18" si="4">IF(ISNUMBER(F15/B15),F15/B15," - ")</f>
        <v>200</v>
      </c>
      <c r="H15" s="414">
        <f>IF(ISNUMBER(Datos!O15),Datos!O15," - ")</f>
        <v>23</v>
      </c>
      <c r="I15" s="415">
        <f t="shared" ref="I15:I17" si="5">IF(ISNUMBER(H15/B15),H15/B15," - ")</f>
        <v>7.666666666666667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70</v>
      </c>
      <c r="G17" s="415">
        <f>IF(ISNUMBER(F17/B17),F17/B17," - ")</f>
        <v>70</v>
      </c>
      <c r="H17" s="414">
        <f>IF(ISNUMBER(Datos!O17),Datos!O17," - ")</f>
        <v>0</v>
      </c>
      <c r="I17" s="415">
        <f t="shared" si="5"/>
        <v>0</v>
      </c>
    </row>
    <row r="18" spans="1:9" ht="14.25" thickTop="1" thickBot="1">
      <c r="A18" s="994" t="str">
        <f>Datos!A18</f>
        <v>TOTAL</v>
      </c>
      <c r="B18" s="995">
        <f>Datos!AO18</f>
        <v>4</v>
      </c>
      <c r="C18" s="997">
        <f>Datos!AR18</f>
        <v>3</v>
      </c>
      <c r="D18" s="995">
        <f>SUBTOTAL(9,D15:D17)</f>
        <v>195</v>
      </c>
      <c r="E18" s="996">
        <f t="shared" si="3"/>
        <v>48.75</v>
      </c>
      <c r="F18" s="995">
        <f>SUBTOTAL(9,F15:F17)</f>
        <v>670</v>
      </c>
      <c r="G18" s="996">
        <f t="shared" si="4"/>
        <v>167.5</v>
      </c>
      <c r="H18" s="995">
        <f>SUBTOTAL(9,H15:H17)</f>
        <v>23</v>
      </c>
      <c r="I18" s="996">
        <f>IF(ISNUMBER(H18/B18),H18/B18," - ")</f>
        <v>5.75</v>
      </c>
    </row>
    <row r="19" spans="1:9" ht="14.25" thickTop="1" thickBot="1">
      <c r="A19" s="939" t="str">
        <f>Datos!A19</f>
        <v>TOTAL JURISDICCIONES</v>
      </c>
      <c r="B19" s="940">
        <f>Datos!AP19</f>
        <v>9</v>
      </c>
      <c r="C19" s="940">
        <f>Datos!AR19</f>
        <v>9</v>
      </c>
      <c r="D19" s="940">
        <f>SUBTOTAL(9,D8:D18)</f>
        <v>907</v>
      </c>
      <c r="E19" s="941">
        <f>IF(ISNUMBER(D19/B19),D19/B19," - ")</f>
        <v>100.77777777777777</v>
      </c>
      <c r="F19" s="940">
        <f>SUBTOTAL(9,F8:F18)</f>
        <v>1660</v>
      </c>
      <c r="G19" s="941">
        <f>IF(ISNUMBER(F19/B19),F19/B19," - ")</f>
        <v>184.44444444444446</v>
      </c>
      <c r="H19" s="940">
        <f>SUBTOTAL(9,H8:H18)</f>
        <v>1078</v>
      </c>
      <c r="I19" s="941">
        <f>IF(ISNUMBER(H19/B19),H19/B19," - ")</f>
        <v>119.77777777777777</v>
      </c>
    </row>
    <row r="22" spans="1:9">
      <c r="A22" s="402" t="str">
        <f>Criterios!A4</f>
        <v>Fecha Informe: 06 oct. 2023</v>
      </c>
    </row>
    <row r="27" spans="1:9">
      <c r="A27" s="425"/>
    </row>
  </sheetData>
  <sheetProtection algorithmName="SHA-512" hashValue="k/WWmGrAIRbrQ7fYGsibtvxy6MTUfsDPpWknxCiQ4j6uVCcF+LOBRmOPriVZOzJKvf0BzXcAV3NyOk8vVdMIhA==" saltValue="gmRA66cDKW/CfdX5UALl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LUGO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601</v>
      </c>
      <c r="C9" s="450">
        <f>IF(ISNUMBER(Datos!Q9),Datos!Q9," - ")</f>
        <v>560</v>
      </c>
      <c r="D9" s="419">
        <f>IF(ISNUMBER(Datos!R9),Datos!R9," - ")</f>
        <v>4802</v>
      </c>
    </row>
    <row r="10" spans="1:4">
      <c r="A10" s="413" t="str">
        <f>Datos!A10</f>
        <v>Jdos. Violencia contra la mujer</v>
      </c>
      <c r="B10" s="449">
        <f>IF(ISNUMBER(Datos!P10),Datos!P10," - ")</f>
        <v>5</v>
      </c>
      <c r="C10" s="450">
        <f>IF(ISNUMBER(Datos!Q10),Datos!Q10," - ")</f>
        <v>0</v>
      </c>
      <c r="D10" s="419">
        <f>IF(ISNUMBER(Datos!R10),Datos!R10," - ")</f>
        <v>91</v>
      </c>
    </row>
    <row r="11" spans="1:4">
      <c r="A11" s="413" t="str">
        <f>Datos!A11</f>
        <v xml:space="preserve">Jdos. Familia                                   </v>
      </c>
      <c r="B11" s="449">
        <f>IF(ISNUMBER(Datos!P11),Datos!P11," - ")</f>
        <v>4</v>
      </c>
      <c r="C11" s="450">
        <f>IF(ISNUMBER(Datos!Q11),Datos!Q11," - ")</f>
        <v>0</v>
      </c>
      <c r="D11" s="419">
        <f>IF(ISNUMBER(Datos!R11),Datos!R11," - ")</f>
        <v>4</v>
      </c>
    </row>
    <row r="12" spans="1:4" ht="13.5" thickBot="1">
      <c r="A12" s="413" t="str">
        <f>Datos!A12</f>
        <v xml:space="preserve">Jdos. 1ª Instª. e Instr.                        </v>
      </c>
      <c r="B12" s="449">
        <f>IF(ISNUMBER(Datos!P12),Datos!P12," - ")</f>
        <v>1</v>
      </c>
      <c r="C12" s="450">
        <f>IF(ISNUMBER(Datos!Q12),Datos!Q12," - ")</f>
        <v>7</v>
      </c>
      <c r="D12" s="419">
        <f>IF(ISNUMBER(Datos!R12),Datos!R12," - ")</f>
        <v>392</v>
      </c>
    </row>
    <row r="13" spans="1:4" ht="14.25" thickTop="1" thickBot="1">
      <c r="A13" s="994" t="str">
        <f>Datos!A13</f>
        <v>TOTAL</v>
      </c>
      <c r="B13" s="995">
        <f>SUBTOTAL(9,B9:B12)</f>
        <v>611</v>
      </c>
      <c r="C13" s="999">
        <f>SUBTOTAL(9,C9:C12)</f>
        <v>567</v>
      </c>
      <c r="D13" s="997">
        <f>SUBTOTAL(9,D9:D12)</f>
        <v>5289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45</v>
      </c>
      <c r="C15" s="450">
        <f>IF(ISNUMBER(Datos!Q15),Datos!Q15," - ")</f>
        <v>70</v>
      </c>
      <c r="D15" s="419">
        <f>IF(ISNUMBER(Datos!R15),Datos!R15," - ")</f>
        <v>216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45</v>
      </c>
      <c r="C18" s="999">
        <f>SUBTOTAL(9,C15:C17)</f>
        <v>70</v>
      </c>
      <c r="D18" s="997">
        <f>SUBTOTAL(9,D15:D17)</f>
        <v>216</v>
      </c>
    </row>
    <row r="19" spans="1:4" ht="16.5" customHeight="1" thickTop="1" thickBot="1">
      <c r="A19" s="939" t="str">
        <f>Datos!A19</f>
        <v>TOTAL JURISDICCIONES</v>
      </c>
      <c r="B19" s="944">
        <f>SUBTOTAL(9,B8:B18)</f>
        <v>656</v>
      </c>
      <c r="C19" s="945">
        <f>SUBTOTAL(9,C8:C18)</f>
        <v>637</v>
      </c>
      <c r="D19" s="946">
        <f>SUBTOTAL(9,D8:D18)</f>
        <v>5505</v>
      </c>
    </row>
    <row r="20" spans="1:4" ht="7.5" customHeight="1"/>
    <row r="21" spans="1:4" ht="6" customHeight="1"/>
    <row r="22" spans="1:4">
      <c r="A22" s="402" t="str">
        <f>Criterios!A4</f>
        <v>Fecha Informe: 06 oct. 2023</v>
      </c>
    </row>
    <row r="27" spans="1:4">
      <c r="A27" s="425"/>
    </row>
  </sheetData>
  <sheetProtection algorithmName="SHA-512" hashValue="HgV3tkSfcJqyWAcPROoq6reHttz3fsPIbtLro1urlgr4ey1HlPHJNz+3nvP07Nbz/9GoEKY8x9j8e28u4kDmDw==" saltValue="UBDEOhRo3fcy73aKC+Vg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LUGO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-9.0163934426229511E-2</v>
      </c>
      <c r="C9" s="472">
        <f>IF(ISNUMBER(
   IF(J_V="SI",(Datos!J9-Datos!T9)/Datos!T9,(Datos!J9+Datos!Z9-(Datos!T9+Datos!AH9))/(Datos!T9+Datos!AH9))
     ),IF(J_V="SI",(Datos!J9-Datos!T9)/Datos!T9,(Datos!J9+Datos!Z9-(Datos!T9+Datos!AH9))/(Datos!T9+Datos!AH9))," - ")</f>
        <v>0.21869488536155202</v>
      </c>
      <c r="D9" s="472">
        <f>IF(ISNUMBER(
   IF(J_V="SI",(Datos!K9-Datos!U9)/Datos!U9,(Datos!K9+Datos!AA9-(Datos!U9+Datos!AI9))/(Datos!U9+Datos!AI9))
     ),IF(J_V="SI",(Datos!K9-Datos!U9)/Datos!U9,(Datos!K9+Datos!AA9-(Datos!U9+Datos!AI9))/(Datos!U9+Datos!AI9))," - ")</f>
        <v>2.0711391265195857E-2</v>
      </c>
      <c r="E9" s="472">
        <f>IF(ISNUMBER(
   IF(J_V="SI",(Datos!L9-Datos!V9)/Datos!V9,(Datos!L9+Datos!AB9-(Datos!V9+Datos!AJ9))/(Datos!V9+Datos!AJ9))
     ),IF(J_V="SI",(Datos!L9-Datos!V9)/Datos!V9,(Datos!L9+Datos!AB9-(Datos!V9+Datos!AJ9))/(Datos!V9+Datos!AJ9))," - ")</f>
        <v>2.6302083333333334E-2</v>
      </c>
      <c r="F9" s="472">
        <f>IF(ISNUMBER((Datos!M9-Datos!W9)/Datos!W9),(Datos!M9-Datos!W9)/Datos!W9," - ")</f>
        <v>2.5600000000000001E-2</v>
      </c>
      <c r="G9" s="473">
        <f>IF(ISNUMBER((Datos!N9-Datos!X9)/Datos!X9),(Datos!N9-Datos!X9)/Datos!X9," - ")</f>
        <v>2.5990099009900989E-2</v>
      </c>
      <c r="H9" s="471">
        <f>IF(ISNUMBER(((NºAsuntos!G9/NºAsuntos!E9)-Datos!BD9)/Datos!BD9),((NºAsuntos!G9/NºAsuntos!E9)-Datos!BD9)/Datos!BD9," - ")</f>
        <v>-0.16245534175489712</v>
      </c>
      <c r="I9" s="472">
        <f>IF(ISNUMBER(((NºAsuntos!I9/NºAsuntos!G9)-Datos!BE9)/Datos!BE9),((NºAsuntos!I9/NºAsuntos!G9)-Datos!BE9)/Datos!BE9," - ")</f>
        <v>5.4772505881488104E-3</v>
      </c>
      <c r="J9" s="477">
        <f>IF(ISNUMBER((('Resol  Asuntos'!D9/NºAsuntos!G9)-Datos!BF9)/Datos!BF9),(('Resol  Asuntos'!D9/NºAsuntos!G9)-Datos!BF9)/Datos!BF9," - ")</f>
        <v>-0.22278046618071598</v>
      </c>
      <c r="K9" s="478">
        <f>IF(ISNUMBER((((NºAsuntos!C9+NºAsuntos!E9)/NºAsuntos!G9)-Datos!BG9)/Datos!BG9),(((NºAsuntos!C9+NºAsuntos!E9)/NºAsuntos!G9)-Datos!BG9)/Datos!BG9," - ")</f>
        <v>4.8088455635474829E-3</v>
      </c>
    </row>
    <row r="10" spans="1:11">
      <c r="A10" s="413" t="str">
        <f>Datos!A10</f>
        <v>Jdos. Violencia contra la mujer</v>
      </c>
      <c r="B10" s="471">
        <f>IF(ISNUMBER((Datos!I10-Datos!S10)/Datos!S10),(Datos!I10-Datos!S10)/Datos!S10," - ")</f>
        <v>0.11363636363636363</v>
      </c>
      <c r="C10" s="472">
        <f>IF(ISNUMBER((Datos!J10-Datos!T10)/Datos!T10),(Datos!J10-Datos!T10)/Datos!T10," - ")</f>
        <v>-0.48</v>
      </c>
      <c r="D10" s="472">
        <f>IF(ISNUMBER((Datos!K10-Datos!U10)/Datos!U10),(Datos!K10-Datos!U10)/Datos!U10," - ")</f>
        <v>-0.1</v>
      </c>
      <c r="E10" s="472">
        <f>IF(ISNUMBER((Datos!L10-Datos!V10)/Datos!V10),(Datos!L10-Datos!V10)/Datos!V10," - ")</f>
        <v>1.2048192771084338E-2</v>
      </c>
      <c r="F10" s="472">
        <f>IF(ISNUMBER((Datos!M10-Datos!W10)/Datos!W10),(Datos!M10-Datos!W10)/Datos!W10," - ")</f>
        <v>0.58823529411764708</v>
      </c>
      <c r="G10" s="473">
        <f>IF(ISNUMBER((Datos!N10-Datos!X10)/Datos!X10),(Datos!N10-Datos!X10)/Datos!X10," - ")</f>
        <v>-1</v>
      </c>
      <c r="H10" s="471">
        <f>IF(ISNUMBER(((NºAsuntos!G10/NºAsuntos!E10)-Datos!BD10)/Datos!BD10),((NºAsuntos!G10/NºAsuntos!E10)-Datos!BD10)/Datos!BD10," - ")</f>
        <v>0.73076923076923095</v>
      </c>
      <c r="I10" s="472">
        <f>IF(ISNUMBER(((NºAsuntos!I10/NºAsuntos!G10)-Datos!BE10)/Datos!BE10),((NºAsuntos!I10/NºAsuntos!G10)-Datos!BE10)/Datos!BE10," - ")</f>
        <v>0.12449799196787152</v>
      </c>
      <c r="J10" s="477">
        <f>IF(ISNUMBER((('Resol  Asuntos'!D10/NºAsuntos!G10)-Datos!BF10)/Datos!BF10),(('Resol  Asuntos'!D10/NºAsuntos!G10)-Datos!BF10)/Datos!BF10," - ")</f>
        <v>0.76470588235294124</v>
      </c>
      <c r="K10" s="478">
        <f>IF(ISNUMBER((((NºAsuntos!C10+NºAsuntos!E10)/NºAsuntos!G10)-Datos!BG10)/Datos!BG10),(((NºAsuntos!C10+NºAsuntos!E10)/NºAsuntos!G10)-Datos!BG10)/Datos!BG10," - ")</f>
        <v>9.1445427728613485E-2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-0.8</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-0.625</v>
      </c>
      <c r="F12" s="472" t="str">
        <f>IF(ISNUMBER((Datos!M12-Datos!W12)/Datos!W12),(Datos!M12-Datos!W12)/Datos!W12," - ")</f>
        <v xml:space="preserve"> - </v>
      </c>
      <c r="G12" s="473">
        <f>IF(ISNUMBER((Datos!N12-Datos!X12)/Datos!X12),(Datos!N12-Datos!X12)/Datos!X12," - ")</f>
        <v>6</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-4.9057578104828296E-2</v>
      </c>
      <c r="C13" s="1001">
        <f>IF(ISNUMBER(
   IF(J_V="SI",(Datos!J13-Datos!T13)/Datos!T13,(Datos!J13+Datos!Z13-(Datos!T13+Datos!AH13))/(Datos!T13+Datos!AH13))
     ),IF(J_V="SI",(Datos!J13-Datos!T13)/Datos!T13,(Datos!J13+Datos!Z13-(Datos!T13+Datos!AH13))/(Datos!T13+Datos!AH13))," - ")</f>
        <v>0.36814621409921672</v>
      </c>
      <c r="D13" s="1001">
        <f>IF(ISNUMBER(
   IF(J_V="SI",(Datos!K13-Datos!U13)/Datos!U13,(Datos!K13+Datos!AA13-(Datos!U13+Datos!AI13))/(Datos!U13+Datos!AI13))
     ),IF(J_V="SI",(Datos!K13-Datos!U13)/Datos!U13,(Datos!K13+Datos!AA13-(Datos!U13+Datos!AI13))/(Datos!U13+Datos!AI13))," - ")</f>
        <v>0.13416259440248779</v>
      </c>
      <c r="E13" s="1001">
        <f>IF(ISNUMBER(
   IF(J_V="SI",(Datos!L13-Datos!V13)/Datos!V13,(Datos!L13+Datos!AB13-(Datos!V13+Datos!AJ13))/(Datos!V13+Datos!AJ13))
     ),IF(J_V="SI",(Datos!L13-Datos!V13)/Datos!V13,(Datos!L13+Datos!AB13-(Datos!V13+Datos!AJ13))/(Datos!V13+Datos!AJ13))," - ")</f>
        <v>8.8018315950139911E-2</v>
      </c>
      <c r="F13" s="1002">
        <f>IF(ISNUMBER((Datos!M13-Datos!W13)/Datos!W13),(Datos!M13-Datos!W13)/Datos!W13," - ")</f>
        <v>0.10903426791277258</v>
      </c>
      <c r="G13" s="1003">
        <f>IF(ISNUMBER((Datos!N13-Datos!X13)/Datos!X13),(Datos!N13-Datos!X13)/Datos!X13," - ")</f>
        <v>0.2073170731707317</v>
      </c>
      <c r="H13" s="1003">
        <f>IF(ISNUMBER(((NºAsuntos!G13/NºAsuntos!E13)-Datos!BD13)/Datos!BD13),((NºAsuntos!G13/NºAsuntos!E13)-Datos!BD13)/Datos!BD13," - ")</f>
        <v>-0.17102237851879229</v>
      </c>
      <c r="I13" s="1003">
        <f>IF(ISNUMBER(((NºAsuntos!I13/NºAsuntos!G13)-Datos!BE13)/Datos!BE13),((NºAsuntos!I13/NºAsuntos!G13)-Datos!BE13)/Datos!BE13," - ")</f>
        <v>-4.0685769994608351E-2</v>
      </c>
      <c r="J13" s="1003">
        <f>IF(ISNUMBER((('Resol  Asuntos'!D13/NºAsuntos!G13)-Datos!BF13)/Datos!BF13),(('Resol  Asuntos'!D13/NºAsuntos!G13)-Datos!BF13)/Datos!BF13," - ")</f>
        <v>-0.24089969786831153</v>
      </c>
      <c r="K13" s="1003">
        <f>IF(ISNUMBER((((NºAsuntos!C13+NºAsuntos!E13)/NºAsuntos!G13)-Datos!BG13)/Datos!BG13),(((NºAsuntos!C13+NºAsuntos!E13)/NºAsuntos!G13)-Datos!BG13)/Datos!BG13," - ")</f>
        <v>-2.4563423307901421E-2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0.42464835900870729</v>
      </c>
      <c r="C15" s="472">
        <f>IF(ISNUMBER(
   IF(D_I="SI",(Datos!J15-Datos!T15)/Datos!T15,(Datos!J15+Datos!AD15-(Datos!T15+Datos!AL15))/(Datos!T15+Datos!AL15))
     ),IF(D_I="SI",(Datos!J15-Datos!T15)/Datos!T15,(Datos!J15+Datos!AD15-(Datos!T15+Datos!AL15))/(Datos!T15+Datos!AL15))," - ")</f>
        <v>2.4577572964669739E-2</v>
      </c>
      <c r="D15" s="472">
        <f>IF(ISNUMBER(
   IF(D_I="SI",(Datos!K15-Datos!U15)/Datos!U15,(Datos!K15+Datos!AE15-(Datos!U15+Datos!AM15))/(Datos!U15+Datos!AM15))
     ),IF(D_I="SI",(Datos!K15-Datos!U15)/Datos!U15,(Datos!K15+Datos!AE15-(Datos!U15+Datos!AM15))/(Datos!U15+Datos!AM15))," - ")</f>
        <v>6.2978723404255324E-2</v>
      </c>
      <c r="E15" s="472">
        <f>IF(ISNUMBER(
   IF(D_I="SI",(Datos!L15-Datos!V15)/Datos!V15,(Datos!L15+Datos!AF15-(Datos!V15+Datos!AN15))/(Datos!V15+Datos!AN15))
     ),IF(D_I="SI",(Datos!L15-Datos!V15)/Datos!V15,(Datos!L15+Datos!AF15-(Datos!V15+Datos!AN15))/(Datos!V15+Datos!AN15))," - ")</f>
        <v>0.36206896551724138</v>
      </c>
      <c r="F15" s="472">
        <f>IF(ISNUMBER((Datos!M15-Datos!W15)/Datos!W15),(Datos!M15-Datos!W15)/Datos!W15," - ")</f>
        <v>-7.6190476190476197E-2</v>
      </c>
      <c r="G15" s="473">
        <f>IF(ISNUMBER((Datos!N15-Datos!X15)/Datos!X15),(Datos!N15-Datos!X15)/Datos!X15," - ")</f>
        <v>-1.4778325123152709E-2</v>
      </c>
      <c r="H15" s="471">
        <f>IF(ISNUMBER(((NºAsuntos!G15/NºAsuntos!E15)-Datos!BD15)/Datos!BD15),((NºAsuntos!G15/NºAsuntos!E15)-Datos!BD15)/Datos!BD15," - ")</f>
        <v>3.7479983412549121E-2</v>
      </c>
      <c r="I15" s="472">
        <f>IF(ISNUMBER(((NºAsuntos!I15/NºAsuntos!G15)-Datos!BE15)/Datos!BE15),((NºAsuntos!I15/NºAsuntos!G15)-Datos!BE15)/Datos!BE15," - ")</f>
        <v>0.28136992352502699</v>
      </c>
      <c r="J15" s="477">
        <f>IF(ISNUMBER((('Resol  Asuntos'!D15/NºAsuntos!G15)-Datos!BF15)/Datos!BF15),(('Resol  Asuntos'!D15/NºAsuntos!G15)-Datos!BF15)/Datos!BF15," - ")</f>
        <v>-0.13092378664836629</v>
      </c>
      <c r="K15" s="478">
        <f>IF(ISNUMBER((((NºAsuntos!C15+NºAsuntos!E15)/NºAsuntos!G15)-Datos!BG15)/Datos!BG15),(((NºAsuntos!C15+NºAsuntos!E15)/NºAsuntos!G15)-Datos!BG15)/Datos!BG15," - ")</f>
        <v>0.16491762282813713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-5.181347150259067E-2</v>
      </c>
      <c r="C17" s="472">
        <f>IF(ISNUMBER(
   IF(D_I="SI",(Datos!J17-Datos!T17)/Datos!T17,(Datos!J17+Datos!AD17-(Datos!T17+Datos!AL17))/(Datos!T17+Datos!AL17))
     ),IF(D_I="SI",(Datos!J17-Datos!T17)/Datos!T17,(Datos!J17+Datos!AD17-(Datos!T17+Datos!AL17))/(Datos!T17+Datos!AL17))," - ")</f>
        <v>-0.16528925619834711</v>
      </c>
      <c r="D17" s="472">
        <f>IF(ISNUMBER(
   IF(D_I="SI",(Datos!K17-Datos!U17)/Datos!U17,(Datos!K17+Datos!AE17-(Datos!U17+Datos!AM17))/(Datos!U17+Datos!AM17))
     ),IF(D_I="SI",(Datos!K17-Datos!U17)/Datos!U17,(Datos!K17+Datos!AE17-(Datos!U17+Datos!AM17))/(Datos!U17+Datos!AM17))," - ")</f>
        <v>5.2631578947368418E-2</v>
      </c>
      <c r="E17" s="472">
        <f>IF(ISNUMBER(
   IF(D_I="SI",(Datos!L17-Datos!V17)/Datos!V17,(Datos!L17+Datos!AF17-(Datos!V17+Datos!AN17))/(Datos!V17+Datos!AN17))
     ),IF(D_I="SI",(Datos!L17-Datos!V17)/Datos!V17,(Datos!L17+Datos!AF17-(Datos!V17+Datos!AN17))/(Datos!V17+Datos!AN17))," - ")</f>
        <v>-0.18</v>
      </c>
      <c r="F17" s="472">
        <f>IF(ISNUMBER((Datos!M17-Datos!W17)/Datos!W17),(Datos!M17-Datos!W17)/Datos!W17," - ")</f>
        <v>-0.83333333333333337</v>
      </c>
      <c r="G17" s="473">
        <f>IF(ISNUMBER((Datos!N17-Datos!X17)/Datos!X17),(Datos!N17-Datos!X17)/Datos!X17," - ")</f>
        <v>-6.6666666666666666E-2</v>
      </c>
      <c r="H17" s="471">
        <f>IF(ISNUMBER(((NºAsuntos!G17/NºAsuntos!E17)-Datos!BD17)/Datos!BD17),((NºAsuntos!G17/NºAsuntos!E17)-Datos!BD17)/Datos!BD17," - ")</f>
        <v>0.26107347576862949</v>
      </c>
      <c r="I17" s="472">
        <f>IF(ISNUMBER(((NºAsuntos!I17/NºAsuntos!G17)-Datos!BE17)/Datos!BE17),((NºAsuntos!I17/NºAsuntos!G17)-Datos!BE17)/Datos!BE17," - ")</f>
        <v>-0.22099999999999995</v>
      </c>
      <c r="J17" s="477">
        <f>IF(ISNUMBER((('Resol  Asuntos'!D17/NºAsuntos!G17)-Datos!BF17)/Datos!BF17),(('Resol  Asuntos'!D17/NºAsuntos!G17)-Datos!BF17)/Datos!BF17," - ")</f>
        <v>-0.84166666666666667</v>
      </c>
      <c r="K17" s="478">
        <f>IF(ISNUMBER((((NºAsuntos!C17+NºAsuntos!E17)/NºAsuntos!G17)-Datos!BG17)/Datos!BG17),(((NºAsuntos!C17+NºAsuntos!E17)/NºAsuntos!G17)-Datos!BG17)/Datos!BG17," - ")</f>
        <v>-0.14076433121019111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0.37010676156583627</v>
      </c>
      <c r="C18" s="1001">
        <f>IF(ISNUMBER(
   IF(Criterios!B14="SI",(Datos!J18-Datos!T18)/Datos!T18,(Datos!J18+Datos!AD18-(Datos!T18+Datos!AL18))/(Datos!T18+Datos!AL18))
     ),IF(Criterios!B14="SI",(Datos!J18-Datos!T18)/Datos!T18,(Datos!J18+Datos!AD18-(Datos!T18+Datos!AL18))/(Datos!T18+Datos!AL18))," - ")</f>
        <v>8.4328882642304981E-3</v>
      </c>
      <c r="D18" s="1001">
        <f>IF(ISNUMBER(
   IF(Criterios!B14="SI",(Datos!K18-Datos!U18)/Datos!U18,(Datos!K18+Datos!AE18-(Datos!U18+Datos!AM18))/(Datos!U18+Datos!AM18))
     ),IF(Criterios!B14="SI",(Datos!K18-Datos!U18)/Datos!U18,(Datos!K18+Datos!AE18-(Datos!U18+Datos!AM18))/(Datos!U18+Datos!AM18))," - ")</f>
        <v>6.2063615205585725E-2</v>
      </c>
      <c r="E18" s="1001">
        <f>IF(ISNUMBER(
   IF(Criterios!B14="SI",(Datos!L18-Datos!V18)/Datos!V18,(Datos!L18+Datos!AF18-(Datos!V18+Datos!AN18))/(Datos!V18+Datos!AN18))
     ),IF(Criterios!B14="SI",(Datos!L18-Datos!V18)/Datos!V18,(Datos!L18+Datos!AF18-(Datos!V18+Datos!AN18))/(Datos!V18+Datos!AN18))," - ")</f>
        <v>0.30263157894736842</v>
      </c>
      <c r="F18" s="1002">
        <f>IF(ISNUMBER((Datos!M18-Datos!W18)/Datos!W18),(Datos!M18-Datos!W18)/Datos!W18," - ")</f>
        <v>-9.7222222222222224E-2</v>
      </c>
      <c r="G18" s="1003">
        <f>IF(ISNUMBER((Datos!N18-Datos!X18)/Datos!X18),(Datos!N18-Datos!X18)/Datos!X18," - ")</f>
        <v>-2.046783625730994E-2</v>
      </c>
      <c r="H18" s="1003">
        <f>IF(ISNUMBER(((NºAsuntos!G18/NºAsuntos!E18)-Datos!BD18)/Datos!BD18),((NºAsuntos!G18/NºAsuntos!E18)-Datos!BD18)/Datos!BD18," - ")</f>
        <v>5.3182246994807301E-2</v>
      </c>
      <c r="I18" s="1003">
        <f>IF(ISNUMBER(((NºAsuntos!I18/NºAsuntos!G18)-Datos!BE18)/Datos!BE18),((NºAsuntos!I18/NºAsuntos!G18)-Datos!BE18)/Datos!BE18," - ")</f>
        <v>0.22650993810311021</v>
      </c>
      <c r="J18" s="1003">
        <f>IF(ISNUMBER((('Resol  Asuntos'!D18/NºAsuntos!G18)-Datos!BF18)/Datos!BF18),(('Resol  Asuntos'!D18/NºAsuntos!G18)-Datos!BF18)/Datos!BF18," - ")</f>
        <v>-0.14997768038308573</v>
      </c>
      <c r="K18" s="1003">
        <f>IF(ISNUMBER((((NºAsuntos!C18+NºAsuntos!E18)/NºAsuntos!G18)-Datos!BG18)/Datos!BG18),(((NºAsuntos!C18+NºAsuntos!E18)/NºAsuntos!G18)-Datos!BG18)/Datos!BG18," - ")</f>
        <v>0.13417630334515052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7.8071595610721356E-2</v>
      </c>
      <c r="C19" s="948">
        <f>IF(ISNUMBER(
   IF(J_V="SI",(Datos!J19-Datos!T19)/Datos!T19,(Datos!J19+Datos!Z19-(Datos!T19+Datos!AH19))/(Datos!T19+Datos!AH19))
     ),IF(J_V="SI",(Datos!J19-Datos!T19)/Datos!T19,(Datos!J19+Datos!Z19-(Datos!T19+Datos!AH19))/(Datos!T19+Datos!AH19))," - ")</f>
        <v>0.23058317656543939</v>
      </c>
      <c r="D19" s="948">
        <f>IF(ISNUMBER(
   IF(J_V="SI",(Datos!K19-Datos!U19)/Datos!U19,(Datos!K19+Datos!AA19-(Datos!U19+Datos!AI19))/(Datos!U19+Datos!AI19))
     ),IF(J_V="SI",(Datos!K19-Datos!U19)/Datos!U19,(Datos!K19+Datos!AA19-(Datos!U19+Datos!AI19))/(Datos!U19+Datos!AI19))," - ")</f>
        <v>0.10790960451977401</v>
      </c>
      <c r="E19" s="948">
        <f>IF(ISNUMBER(
   IF(J_V="SI",(Datos!L19-Datos!V19)/Datos!V19,(Datos!L19+Datos!AB19-(Datos!V19+Datos!AJ19))/(Datos!V19+Datos!AJ19))
     ),IF(J_V="SI",(Datos!L19-Datos!V19)/Datos!V19,(Datos!L19+Datos!AB19-(Datos!V19+Datos!AJ19))/(Datos!V19+Datos!AJ19))," - ")</f>
        <v>0.15603822762814942</v>
      </c>
      <c r="F19" s="949">
        <f>IF(ISNUMBER((Datos!M19-Datos!W19)/Datos!W19),(Datos!M19-Datos!W19)/Datos!W19," - ")</f>
        <v>5.7109557109557112E-2</v>
      </c>
      <c r="G19" s="950">
        <f>IF(ISNUMBER((Datos!N19-Datos!X19)/Datos!X19),(Datos!N19-Datos!X19)/Datos!X19," - ")</f>
        <v>0.10372340425531915</v>
      </c>
      <c r="H19" s="951">
        <f>IF(ISNUMBER((Tasas!B19-Datos!BD19)/Datos!BD19),(Tasas!B19-Datos!BD19)/Datos!BD19," - ")</f>
        <v>-9.968734692769618E-2</v>
      </c>
      <c r="I19" s="952">
        <f>IF(ISNUMBER((Tasas!C19-Datos!BE19)/Datos!BE19),(Tasas!C19-Datos!BE19)/Datos!BE19," - ")</f>
        <v>4.3440929577676944E-2</v>
      </c>
      <c r="J19" s="953">
        <f>IF(ISNUMBER((Tasas!D19-Datos!BF19)/Datos!BF19),(Tasas!D19-Datos!BF19)/Datos!BF19," - ")</f>
        <v>-0.21509218837318114</v>
      </c>
      <c r="K19" s="953">
        <f>IF(ISNUMBER((Tasas!E19-Datos!BG19)/Datos!BG19),(Tasas!E19-Datos!BG19)/Datos!BG19," - ")</f>
        <v>2.8264520213121529E-2</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kJWfP6i9go23skLWNz4m8bJi3DWqKaqrCQKxW08fGr2kam6eVwqupqXW7fVI6xYa5xmu7gTlUJbDWvt84CG9g==" saltValue="nn+bmTGyddHH9Of0Ak/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LUGO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0.82018813314037631</v>
      </c>
      <c r="C9" s="459">
        <f>IF(ISNUMBER(NºAsuntos!I9/NºAsuntos!G9),NºAsuntos!I9/NºAsuntos!G9," - ")</f>
        <v>1.7384208204675784</v>
      </c>
      <c r="D9" s="460">
        <f>IF(ISNUMBER('Resol  Asuntos'!D9/NºAsuntos!G9),'Resol  Asuntos'!D9/NºAsuntos!G9," - ")</f>
        <v>0.28275253639170711</v>
      </c>
      <c r="E9" s="461">
        <f>IF(ISNUMBER((NºAsuntos!C9+NºAsuntos!E9)/NºAsuntos!G9),(NºAsuntos!C9+NºAsuntos!E9)/NºAsuntos!G9," - ")</f>
        <v>2.737097485663873</v>
      </c>
      <c r="G9" s="479"/>
    </row>
    <row r="10" spans="1:7">
      <c r="A10" s="413" t="str">
        <f>Datos!A10</f>
        <v>Jdos. Violencia contra la mujer</v>
      </c>
      <c r="B10" s="458">
        <f>IF(ISNUMBER(NºAsuntos!G10/NºAsuntos!E10),NºAsuntos!G10/NºAsuntos!E10," - ")</f>
        <v>2.0769230769230771</v>
      </c>
      <c r="C10" s="459">
        <f>IF(ISNUMBER(NºAsuntos!I10/NºAsuntos!G10),NºAsuntos!I10/NºAsuntos!G10," - ")</f>
        <v>3.1111111111111112</v>
      </c>
      <c r="D10" s="460">
        <f>IF(ISNUMBER('Resol  Asuntos'!D10/NºAsuntos!G10),'Resol  Asuntos'!D10/NºAsuntos!G10," - ")</f>
        <v>1</v>
      </c>
      <c r="E10" s="461">
        <f>IF(ISNUMBER((NºAsuntos!C10+NºAsuntos!E10)/NºAsuntos!G10),(NºAsuntos!C10+NºAsuntos!E10)/NºAsuntos!G10," - ")</f>
        <v>4.1111111111111107</v>
      </c>
      <c r="G10" s="479"/>
    </row>
    <row r="11" spans="1:7">
      <c r="A11" s="413" t="str">
        <f>Datos!A11</f>
        <v xml:space="preserve">Jdos. Familia                                   </v>
      </c>
      <c r="B11" s="458">
        <f>IF(ISNUMBER(NºAsuntos!G11/NºAsuntos!E11),NºAsuntos!G11/NºAsuntos!E11," - ")</f>
        <v>0.70491803278688525</v>
      </c>
      <c r="C11" s="459">
        <f>IF(ISNUMBER(NºAsuntos!I11/NºAsuntos!G11),NºAsuntos!I11/NºAsuntos!G11," - ")</f>
        <v>0.96511627906976749</v>
      </c>
      <c r="D11" s="460">
        <f>IF(ISNUMBER('Resol  Asuntos'!D11/NºAsuntos!G11),'Resol  Asuntos'!D11/NºAsuntos!G11," - ")</f>
        <v>0.17054263565891473</v>
      </c>
      <c r="E11" s="461">
        <f>IF(ISNUMBER((NºAsuntos!C11+NºAsuntos!E11)/NºAsuntos!G11),(NºAsuntos!C11+NºAsuntos!E11)/NºAsuntos!G11," - ")</f>
        <v>1.9651162790697674</v>
      </c>
      <c r="G11" s="479"/>
    </row>
    <row r="12" spans="1:7" ht="13.5" thickBot="1">
      <c r="A12" s="413" t="str">
        <f>Datos!A12</f>
        <v xml:space="preserve">Jdos. 1ª Instª. e Instr.                        </v>
      </c>
      <c r="B12" s="458">
        <f>IF(ISNUMBER(NºAsuntos!G12/NºAsuntos!E12),NºAsuntos!G12/NºAsuntos!E12," - ")</f>
        <v>1</v>
      </c>
      <c r="C12" s="459">
        <f>IF(ISNUMBER(NºAsuntos!I12/NºAsuntos!G12),NºAsuntos!I12/NºAsuntos!G12," - ")</f>
        <v>3</v>
      </c>
      <c r="D12" s="460">
        <f>IF(ISNUMBER('Resol  Asuntos'!D12/NºAsuntos!G12),'Resol  Asuntos'!D12/NºAsuntos!G12," - ")</f>
        <v>0</v>
      </c>
      <c r="E12" s="461">
        <f>IF(ISNUMBER((NºAsuntos!C12+NºAsuntos!E12)/NºAsuntos!G12),(NºAsuntos!C12+NºAsuntos!E12)/NºAsuntos!G12," - ")</f>
        <v>4</v>
      </c>
      <c r="G12" s="479"/>
    </row>
    <row r="13" spans="1:7" ht="14.25" thickTop="1" thickBot="1">
      <c r="A13" s="994" t="str">
        <f>Datos!A13</f>
        <v>TOTAL</v>
      </c>
      <c r="B13" s="1004">
        <f>IF(ISNUMBER(NºAsuntos!G13/NºAsuntos!E13),NºAsuntos!G13/NºAsuntos!E13," - ")</f>
        <v>0.81202290076335881</v>
      </c>
      <c r="C13" s="1005">
        <f>IF(ISNUMBER(NºAsuntos!I13/NºAsuntos!G13),NºAsuntos!I13/NºAsuntos!G13," - ")</f>
        <v>1.6752839796318058</v>
      </c>
      <c r="D13" s="1006">
        <f>IF(ISNUMBER('Resol  Asuntos'!D13/NºAsuntos!G13),'Resol  Asuntos'!D13/NºAsuntos!G13," - ")</f>
        <v>0.2788875832354093</v>
      </c>
      <c r="E13" s="1007">
        <f>IF(ISNUMBER((NºAsuntos!C13+NºAsuntos!E13)/NºAsuntos!G13),(NºAsuntos!C13+NºAsuntos!E13)/NºAsuntos!G13," - ")</f>
        <v>2.6741088915001958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0.93628185907046479</v>
      </c>
      <c r="C15" s="459">
        <f>IF(ISNUMBER(NºAsuntos!I15/NºAsuntos!G15),NºAsuntos!I15/NºAsuntos!G15," - ")</f>
        <v>1.7710168134507607</v>
      </c>
      <c r="D15" s="460">
        <f>IF(ISNUMBER('Resol  Asuntos'!D15/NºAsuntos!G15),'Resol  Asuntos'!D15/NºAsuntos!G15," - ")</f>
        <v>0.15532425940752603</v>
      </c>
      <c r="E15" s="461">
        <f>IF(ISNUMBER((NºAsuntos!C15+NºAsuntos!E15)/NºAsuntos!G15),(NºAsuntos!C15+NºAsuntos!E15)/NºAsuntos!G15," - ")</f>
        <v>2.7710168134507605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1.1881188118811881</v>
      </c>
      <c r="C17" s="459">
        <f>IF(ISNUMBER(NºAsuntos!I17/NºAsuntos!G17),NºAsuntos!I17/NºAsuntos!G17," - ")</f>
        <v>1.3666666666666667</v>
      </c>
      <c r="D17" s="460">
        <f>IF(ISNUMBER('Resol  Asuntos'!D17/NºAsuntos!G17),'Resol  Asuntos'!D17/NºAsuntos!G17," - ")</f>
        <v>8.3333333333333332E-3</v>
      </c>
      <c r="E17" s="461">
        <f>IF(ISNUMBER((NºAsuntos!C17+NºAsuntos!E17)/NºAsuntos!G17),(NºAsuntos!C17+NºAsuntos!E17)/NºAsuntos!G17," - ")</f>
        <v>2.3666666666666667</v>
      </c>
      <c r="G17" s="479"/>
    </row>
    <row r="18" spans="1:7" ht="14.25" thickTop="1" thickBot="1">
      <c r="A18" s="994" t="str">
        <f>Datos!A18</f>
        <v>TOTAL</v>
      </c>
      <c r="B18" s="1004">
        <f>IF(ISNUMBER(NºAsuntos!G18/NºAsuntos!E18),NºAsuntos!G18/NºAsuntos!E18," - ")</f>
        <v>0.95400696864111501</v>
      </c>
      <c r="C18" s="1005">
        <f>IF(ISNUMBER(NºAsuntos!I18/NºAsuntos!G18),NºAsuntos!I18/NºAsuntos!G18," - ")</f>
        <v>1.7355734112490868</v>
      </c>
      <c r="D18" s="1008">
        <f>IF(ISNUMBER('Resol  Asuntos'!D18/NºAsuntos!G18),'Resol  Asuntos'!D18/NºAsuntos!G18," - ")</f>
        <v>0.14243973703433163</v>
      </c>
      <c r="E18" s="1007">
        <f>IF(ISNUMBER((NºAsuntos!C18+NºAsuntos!E18)/NºAsuntos!G18),(NºAsuntos!C18+NºAsuntos!E18)/NºAsuntos!G18," - ")</f>
        <v>2.7355734112490868</v>
      </c>
      <c r="G18" s="479"/>
    </row>
    <row r="19" spans="1:7" ht="15.75" customHeight="1" thickTop="1" thickBot="1">
      <c r="A19" s="939" t="str">
        <f>Datos!A19</f>
        <v>TOTAL JURISDICCIONES</v>
      </c>
      <c r="B19" s="954">
        <f>IF(ISNUMBER(NºAsuntos!G19/NºAsuntos!E19),NºAsuntos!G19/NºAsuntos!E19," - ")</f>
        <v>0.85651889058746455</v>
      </c>
      <c r="C19" s="955">
        <f>IF(ISNUMBER(NºAsuntos!I19/NºAsuntos!G19),NºAsuntos!I19/NºAsuntos!G19," - ")</f>
        <v>1.6963284038755737</v>
      </c>
      <c r="D19" s="956">
        <f>IF(ISNUMBER('Resol  Asuntos'!D19/NºAsuntos!G19),'Resol  Asuntos'!D19/NºAsuntos!G19," - ")</f>
        <v>0.2312595614482407</v>
      </c>
      <c r="E19" s="957">
        <f>IF(ISNUMBER((NºAsuntos!C19+NºAsuntos!E19)/NºAsuntos!G19),(NºAsuntos!C19+NºAsuntos!E19)/NºAsuntos!G19," - ")</f>
        <v>2.6955634880163184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VHMKvBBimIvLRmg7Cj69nrrxcYhMrT9+xsWbirvglTEcDMVt7SRp5+dw9ZSr7ZDjv9EbSkC/6h2Um9tywndfA==" saltValue="fu+ADCCgA2m+qS5AEgGI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LUGO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350</v>
      </c>
      <c r="B5" s="276"/>
      <c r="C5" s="1423" t="str">
        <f>"Año:  " &amp;Criterios!B$5 &amp; "          Trimestre   " &amp;Criterios!D$5 &amp; " al " &amp;Criterios!D$6</f>
        <v>Año:  2023          Trimestre   2 al 2</v>
      </c>
      <c r="D5" s="1402" t="s">
        <v>376</v>
      </c>
      <c r="E5" s="1402" t="s">
        <v>317</v>
      </c>
      <c r="F5" s="1425" t="s">
        <v>406</v>
      </c>
      <c r="G5" s="1428" t="s">
        <v>128</v>
      </c>
      <c r="H5" s="1408" t="s">
        <v>158</v>
      </c>
      <c r="I5" s="1408" t="s">
        <v>162</v>
      </c>
      <c r="J5" s="1408" t="s">
        <v>163</v>
      </c>
      <c r="K5" s="1408" t="s">
        <v>407</v>
      </c>
      <c r="L5" s="1408" t="s">
        <v>586</v>
      </c>
      <c r="M5" s="1408" t="s">
        <v>321</v>
      </c>
      <c r="N5" s="1408" t="s">
        <v>377</v>
      </c>
      <c r="O5" s="1408" t="s">
        <v>409</v>
      </c>
      <c r="P5" s="1408" t="s">
        <v>161</v>
      </c>
      <c r="Q5" s="1408" t="s">
        <v>41</v>
      </c>
      <c r="R5" s="1434" t="s">
        <v>164</v>
      </c>
      <c r="S5" s="1437" t="s">
        <v>167</v>
      </c>
      <c r="T5" s="1455" t="s">
        <v>168</v>
      </c>
      <c r="U5" s="1452" t="s">
        <v>169</v>
      </c>
      <c r="V5" s="1446" t="s">
        <v>319</v>
      </c>
      <c r="W5" s="1411" t="s">
        <v>170</v>
      </c>
      <c r="X5" s="1414" t="s">
        <v>171</v>
      </c>
      <c r="Y5" s="1414" t="s">
        <v>172</v>
      </c>
      <c r="Z5" s="1449" t="s">
        <v>173</v>
      </c>
      <c r="AA5" s="1405" t="s">
        <v>174</v>
      </c>
      <c r="AB5" s="1408" t="s">
        <v>175</v>
      </c>
      <c r="AC5" s="1408" t="s">
        <v>176</v>
      </c>
      <c r="AD5" s="1417" t="s">
        <v>177</v>
      </c>
      <c r="AE5" s="1402" t="s">
        <v>180</v>
      </c>
      <c r="AF5" s="1440" t="s">
        <v>178</v>
      </c>
      <c r="AG5" s="1408" t="s">
        <v>179</v>
      </c>
      <c r="AH5" s="1434" t="s">
        <v>198</v>
      </c>
      <c r="AI5" s="1405" t="s">
        <v>181</v>
      </c>
      <c r="AJ5" s="1443" t="s">
        <v>246</v>
      </c>
      <c r="AK5" s="1431" t="s">
        <v>247</v>
      </c>
      <c r="AL5" s="1402" t="s">
        <v>248</v>
      </c>
      <c r="AM5" s="1402" t="s">
        <v>358</v>
      </c>
      <c r="AN5" s="1402" t="s">
        <v>249</v>
      </c>
      <c r="AO5" s="1402" t="s">
        <v>250</v>
      </c>
      <c r="AP5" s="1402" t="s">
        <v>300</v>
      </c>
      <c r="AQ5" s="1402" t="s">
        <v>182</v>
      </c>
      <c r="AR5" s="1402" t="s">
        <v>183</v>
      </c>
      <c r="AS5" s="1402" t="s">
        <v>388</v>
      </c>
      <c r="AT5" s="1402" t="s">
        <v>293</v>
      </c>
      <c r="AU5" s="1402" t="s">
        <v>294</v>
      </c>
      <c r="AV5" s="1402" t="s">
        <v>332</v>
      </c>
      <c r="AW5" s="1402" t="s">
        <v>842</v>
      </c>
      <c r="AX5" s="1402" t="s">
        <v>320</v>
      </c>
      <c r="AY5" s="1402" t="s">
        <v>756</v>
      </c>
      <c r="AZ5" s="1402" t="s">
        <v>757</v>
      </c>
      <c r="BF5" s="1460" t="s">
        <v>199</v>
      </c>
      <c r="BG5" s="1461"/>
      <c r="BH5" s="1460" t="s">
        <v>200</v>
      </c>
      <c r="BI5" s="1461"/>
      <c r="BJ5" s="1460" t="s">
        <v>201</v>
      </c>
      <c r="BK5" s="1461"/>
      <c r="BL5" s="1460" t="s">
        <v>202</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159</v>
      </c>
      <c r="BG6" s="1458" t="s">
        <v>160</v>
      </c>
      <c r="BH6" s="1458" t="s">
        <v>159</v>
      </c>
      <c r="BI6" s="1458" t="s">
        <v>160</v>
      </c>
      <c r="BJ6" s="1458" t="s">
        <v>159</v>
      </c>
      <c r="BK6" s="1458" t="s">
        <v>160</v>
      </c>
      <c r="BL6" s="1458" t="s">
        <v>159</v>
      </c>
      <c r="BM6" s="1458" t="s">
        <v>160</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245</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601</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560</v>
      </c>
      <c r="Y9" s="343">
        <f>SUM(W9:X9)</f>
        <v>560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4802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641</v>
      </c>
      <c r="AJ9" s="233" t="str">
        <f>IF(ISNUMBER(Datos!BW9),Datos!BW9," - ")</f>
        <v xml:space="preserve"> - </v>
      </c>
      <c r="AK9" s="232" t="str">
        <f>IF(ISNUMBER(Datos!BX9),Datos!BX9," - ")</f>
        <v xml:space="preserve"> - </v>
      </c>
      <c r="AL9" s="247">
        <f>IF(ISNUMBER(NºAsuntos!G9/NºAsuntos!E9),NºAsuntos!G9/NºAsuntos!E9," - ")</f>
        <v>0.82018813314037631</v>
      </c>
      <c r="AM9" s="264">
        <f>IF(ISNUMBER(((NºAsuntos!I9/NºAsuntos!G9)*11)/factor_trimestre),((NºAsuntos!I9/NºAsuntos!G9)*11)/factor_trimestre," - ")</f>
        <v>5.2152624614027348</v>
      </c>
      <c r="AN9" s="248">
        <f>IF(ISNUMBER('Resol  Asuntos'!D9/NºAsuntos!G9),'Resol  Asuntos'!D9/NºAsuntos!G9," - ")</f>
        <v>0.28275253639170711</v>
      </c>
      <c r="AO9" s="249">
        <f>IF(ISNUMBER((NºAsuntos!C9+NºAsuntos!E9)/NºAsuntos!G9),(NºAsuntos!C9+NºAsuntos!E9)/NºAsuntos!G9," - ")</f>
        <v>2.737097485663873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0</v>
      </c>
      <c r="F10" s="229">
        <f>IF(ISNUMBER(Datos!L10+Datos!K10-Datos!J10-K10),Datos!L10+Datos!K10-Datos!J10-K10," - ")</f>
        <v>98</v>
      </c>
      <c r="G10" s="342">
        <f>IF(ISNUMBER(Datos!I10),Datos!I10," - ")</f>
        <v>98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0</v>
      </c>
      <c r="Y10" s="343">
        <f t="shared" ref="Y10:Y12" si="0">SUM(W10:X10)</f>
        <v>27</v>
      </c>
      <c r="Z10" s="344" t="str">
        <f>IF(ISNUMBER(Datos!CC10),Datos!CC10," - ")</f>
        <v xml:space="preserve"> - </v>
      </c>
      <c r="AA10" s="341">
        <f>IF(ISNUMBER(Datos!L10),Datos!L10,"-")</f>
        <v>84</v>
      </c>
      <c r="AB10" s="343">
        <f>IF(ISNUMBER(Datos!R10),Datos!R10," - ")</f>
        <v>91</v>
      </c>
      <c r="AC10" s="343">
        <f t="shared" ref="AC10:AC12" si="1">IF(ISNUMBER(AA10+AB10),AA10+AB10," - ")</f>
        <v>175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27</v>
      </c>
      <c r="AJ10" s="235" t="str">
        <f>IF(ISNUMBER(Datos!BW10),Datos!BW10," - ")</f>
        <v xml:space="preserve"> - </v>
      </c>
      <c r="AK10" s="236" t="str">
        <f>IF(ISNUMBER(Datos!BX10),Datos!BX10," - ")</f>
        <v xml:space="preserve"> - </v>
      </c>
      <c r="AL10" s="247">
        <f>IF(ISNUMBER(NºAsuntos!G10/NºAsuntos!E10),NºAsuntos!G10/NºAsuntos!E10," - ")</f>
        <v>2.0769230769230771</v>
      </c>
      <c r="AM10" s="264">
        <f>IF(ISNUMBER(((NºAsuntos!I10/NºAsuntos!G10)*11)/factor_trimestre),((NºAsuntos!I10/NºAsuntos!G10)*11)/factor_trimestre," - ")</f>
        <v>9.3333333333333339</v>
      </c>
      <c r="AN10" s="248">
        <f>IF(ISNUMBER('Resol  Asuntos'!D10/NºAsuntos!G10),'Resol  Asuntos'!D10/NºAsuntos!G10," - ")</f>
        <v>1</v>
      </c>
      <c r="AO10" s="249">
        <f>IF(ISNUMBER((NºAsuntos!C10+NºAsuntos!E10)/NºAsuntos!G10),(NºAsuntos!C10+NºAsuntos!E10)/NºAsuntos!G10," - ")</f>
        <v>4.1111111111111107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0</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44</v>
      </c>
      <c r="AJ11" s="235" t="str">
        <f>IF(ISNUMBER(Datos!BW11),Datos!BW11," - ")</f>
        <v xml:space="preserve"> - </v>
      </c>
      <c r="AK11" s="236" t="str">
        <f>IF(ISNUMBER(Datos!BX11),Datos!BX11," - ")</f>
        <v xml:space="preserve"> - </v>
      </c>
      <c r="AL11" s="247">
        <f>IF(ISNUMBER(NºAsuntos!G11/NºAsuntos!E11),NºAsuntos!G11/NºAsuntos!E11," - ")</f>
        <v>0.70491803278688525</v>
      </c>
      <c r="AM11" s="264">
        <f>IF(ISNUMBER(((NºAsuntos!I11/NºAsuntos!G11)*11)/factor_trimestre),((NºAsuntos!I11/NºAsuntos!G11)*11)/factor_trimestre," - ")</f>
        <v>2.8953488372093026</v>
      </c>
      <c r="AN11" s="248">
        <f>IF(ISNUMBER('Resol  Asuntos'!D11/NºAsuntos!G11),'Resol  Asuntos'!D11/NºAsuntos!G11," - ")</f>
        <v>0.17054263565891473</v>
      </c>
      <c r="AO11" s="249">
        <f>IF(ISNUMBER((NºAsuntos!C11+NºAsuntos!E11)/NºAsuntos!G11),(NºAsuntos!C11+NºAsuntos!E11)/NºAsuntos!G11," - ")</f>
        <v>1.9651162790697674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v>
      </c>
      <c r="Y12" s="343">
        <f t="shared" si="0"/>
        <v>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f>IF(ISNUMBER(NºAsuntos!G12/NºAsuntos!E12),NºAsuntos!G12/NºAsuntos!E12," - ")</f>
        <v>1</v>
      </c>
      <c r="AM12" s="264">
        <f>IF(ISNUMBER(((NºAsuntos!I12/NºAsuntos!G12)*11)/factor_trimestre),((NºAsuntos!I12/NºAsuntos!G12)*11)/factor_trimestre," - ")</f>
        <v>9</v>
      </c>
      <c r="AN12" s="248">
        <f>IF(ISNUMBER('Resol  Asuntos'!D12/NºAsuntos!G12),'Resol  Asuntos'!D12/NºAsuntos!G12," - ")</f>
        <v>0</v>
      </c>
      <c r="AO12" s="249">
        <f>IF(ISNUMBER((NºAsuntos!C12+NºAsuntos!E12)/NºAsuntos!G12),(NºAsuntos!C12+NºAsuntos!E12)/NºAsuntos!G12," - ")</f>
        <v>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98</v>
      </c>
      <c r="G13" s="1012">
        <f t="shared" si="3"/>
        <v>98</v>
      </c>
      <c r="H13" s="1011">
        <f t="shared" si="3"/>
        <v>0</v>
      </c>
      <c r="I13" s="1013">
        <f t="shared" si="3"/>
        <v>0</v>
      </c>
      <c r="J13" s="1013">
        <f t="shared" si="3"/>
        <v>0</v>
      </c>
      <c r="K13" s="1013">
        <f t="shared" si="3"/>
        <v>0</v>
      </c>
      <c r="L13" s="1013">
        <f t="shared" si="3"/>
        <v>611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567</v>
      </c>
      <c r="Y13" s="1014">
        <f t="shared" si="4"/>
        <v>594</v>
      </c>
      <c r="Z13" s="1014">
        <f t="shared" si="4"/>
        <v>0</v>
      </c>
      <c r="AA13" s="1014">
        <f t="shared" si="4"/>
        <v>84</v>
      </c>
      <c r="AB13" s="1014">
        <f t="shared" si="4"/>
        <v>5289</v>
      </c>
      <c r="AC13" s="1014">
        <f t="shared" si="4"/>
        <v>175</v>
      </c>
      <c r="AD13" s="1014">
        <f t="shared" si="4"/>
        <v>0</v>
      </c>
      <c r="AE13" s="1018">
        <f t="shared" si="4"/>
        <v>0</v>
      </c>
      <c r="AF13" s="1011">
        <f t="shared" si="4"/>
        <v>0</v>
      </c>
      <c r="AG13" s="1019">
        <f t="shared" si="4"/>
        <v>0</v>
      </c>
      <c r="AH13" s="1016">
        <f t="shared" si="4"/>
        <v>0</v>
      </c>
      <c r="AI13" s="1011">
        <f t="shared" si="4"/>
        <v>712</v>
      </c>
      <c r="AJ13" s="1013">
        <f t="shared" si="4"/>
        <v>0</v>
      </c>
      <c r="AK13" s="1016">
        <f>SUBTOTAL(9,AK9:AK12)</f>
        <v>0</v>
      </c>
      <c r="AL13" s="1020">
        <f>IF(ISNUMBER(NºAsuntos!G13/NºAsuntos!E13),NºAsuntos!G13/NºAsuntos!E13," - ")</f>
        <v>0.81202290076335881</v>
      </c>
      <c r="AM13" s="1020">
        <f>IF(ISNUMBER(((NºAsuntos!I13/NºAsuntos!G13)*11)/factor_trimestre),((NºAsuntos!I13/NºAsuntos!G13)*11)/factor_trimestre," - ")</f>
        <v>5.0258519388954177</v>
      </c>
      <c r="AN13" s="1021">
        <f>IF(ISNUMBER('Resol  Asuntos'!D13/NºAsuntos!G13),'Resol  Asuntos'!D13/NºAsuntos!G13," - ")</f>
        <v>0.2788875832354093</v>
      </c>
      <c r="AO13" s="1022">
        <f>IF(ISNUMBER((NºAsuntos!C13+NºAsuntos!E13)/NºAsuntos!G13),(NºAsuntos!C13+NºAsuntos!E13)/NºAsuntos!G13," - ")</f>
        <v>2.6741088915001958</v>
      </c>
      <c r="AP13" s="1023" t="str">
        <f t="shared" si="2"/>
        <v xml:space="preserve"> - </v>
      </c>
      <c r="AQ13" s="1023">
        <f>IF(ISNUMBER((H13-W13+K13)/(F13)),(H13-W13+K13)/(F13)," - ")</f>
        <v>-0.27551020408163263</v>
      </c>
      <c r="AR13" s="1024">
        <f>IF(ISNUMBER((Datos!P13-Datos!Q13)/(Datos!R13-Datos!P13+Datos!Q13)),(Datos!P13-Datos!Q13)/(Datos!R13-Datos!P13+Datos!Q13)," - ")</f>
        <v>8.3889418493803616E-3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396</v>
      </c>
      <c r="C15" s="164" t="str">
        <f>Datos!A15</f>
        <v xml:space="preserve">Jdos. Instrucción                               </v>
      </c>
      <c r="D15" s="164"/>
      <c r="E15" s="1201">
        <f>IF(ISNUMBER(Datos!AQ15),Datos!AQ15," - ")</f>
        <v>3</v>
      </c>
      <c r="F15" s="229">
        <f>IF(ISNUMBER(AA15+W15-Datos!J15-K15),AA15+W15-Datos!J15-K15," - ")</f>
        <v>2127</v>
      </c>
      <c r="G15" s="342">
        <f>IF(ISNUMBER(IF(D_I="SI",Datos!I15,Datos!I15+Datos!AC15)),IF(D_I="SI",Datos!I15,Datos!I15+Datos!AC15)," - ")</f>
        <v>2127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45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1249</v>
      </c>
      <c r="X15" s="230">
        <f>IF(ISNUMBER(Datos!Q15),Datos!Q15," - ")</f>
        <v>70</v>
      </c>
      <c r="Y15" s="343">
        <f>SUM(W15)</f>
        <v>1249</v>
      </c>
      <c r="Z15" s="344" t="str">
        <f>IF(ISNUMBER(Datos!CC15),Datos!CC15," - ")</f>
        <v xml:space="preserve"> - </v>
      </c>
      <c r="AA15" s="341">
        <f>IF(ISNUMBER(IF(D_I="SI",Datos!L15,Datos!L15+Datos!AF15)),IF(D_I="SI",Datos!L15,Datos!L15+Datos!AF15)," - ")</f>
        <v>2212</v>
      </c>
      <c r="AB15" s="343">
        <f>IF(ISNUMBER(Datos!R15),Datos!R15," - ")</f>
        <v>216</v>
      </c>
      <c r="AC15" s="343">
        <f t="shared" ref="AC15:AC17" si="6">IF(ISNUMBER(AA15+AB15),AA15+AB15," - ")</f>
        <v>2428</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194</v>
      </c>
      <c r="AJ15" s="235" t="str">
        <f>IF(ISNUMBER(Datos!BW15),Datos!BW15," - ")</f>
        <v xml:space="preserve"> - </v>
      </c>
      <c r="AK15" s="236" t="str">
        <f>IF(ISNUMBER(Datos!BX15),Datos!BX15," - ")</f>
        <v xml:space="preserve"> - </v>
      </c>
      <c r="AL15" s="247">
        <f>IF(ISNUMBER(NºAsuntos!G15/NºAsuntos!E15),NºAsuntos!G15/NºAsuntos!E15," - ")</f>
        <v>0.93628185907046479</v>
      </c>
      <c r="AM15" s="264">
        <f>IF(ISNUMBER(((NºAsuntos!I15/NºAsuntos!G15)*11)/factor_trimestre),((NºAsuntos!I15/NºAsuntos!G15)*11)/factor_trimestre," - ")</f>
        <v>5.3130504403522822</v>
      </c>
      <c r="AN15" s="248">
        <f>IF(ISNUMBER('Resol  Asuntos'!D15/NºAsuntos!G15),'Resol  Asuntos'!D15/NºAsuntos!G15," - ")</f>
        <v>0.15532425940752603</v>
      </c>
      <c r="AO15" s="249">
        <f>IF(ISNUMBER((NºAsuntos!C15+NºAsuntos!E15)/NºAsuntos!G15),(NºAsuntos!C15+NºAsuntos!E15)/NºAsuntos!G15," - ")</f>
        <v>2.7710168134507605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183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120</v>
      </c>
      <c r="X17" s="230">
        <f>IF(ISNUMBER(Datos!Q17),Datos!Q17," - ")</f>
        <v>0</v>
      </c>
      <c r="Y17" s="343">
        <f t="shared" si="7"/>
        <v>120</v>
      </c>
      <c r="Z17" s="344" t="str">
        <f>IF(ISNUMBER(Datos!CC17),Datos!CC17," - ")</f>
        <v xml:space="preserve"> - </v>
      </c>
      <c r="AA17" s="341">
        <f>IF(ISNUMBER(Datos!L17),Datos!L17,"-")</f>
        <v>164</v>
      </c>
      <c r="AB17" s="343">
        <f>IF(ISNUMBER(Datos!R17),Datos!R17," - ")</f>
        <v>0</v>
      </c>
      <c r="AC17" s="343">
        <f t="shared" si="6"/>
        <v>164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1.1881188118811881</v>
      </c>
      <c r="AM17" s="264">
        <f>IF(ISNUMBER(((NºAsuntos!I17/NºAsuntos!G17)*11)/factor_trimestre),((NºAsuntos!I17/NºAsuntos!G17)*11)/factor_trimestre," - ")</f>
        <v>4.1000000000000005</v>
      </c>
      <c r="AN17" s="248">
        <f>IF(ISNUMBER('Resol  Asuntos'!D17/NºAsuntos!G17),'Resol  Asuntos'!D17/NºAsuntos!G17," - ")</f>
        <v>8.3333333333333332E-3</v>
      </c>
      <c r="AO17" s="249">
        <f>IF(ISNUMBER((NºAsuntos!C17+NºAsuntos!E17)/NºAsuntos!G17),(NºAsuntos!C17+NºAsuntos!E17)/NºAsuntos!G17," - ")</f>
        <v>2.3666666666666667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2127</v>
      </c>
      <c r="G18" s="1012">
        <f>SUBTOTAL(9,G15:G17)</f>
        <v>2310</v>
      </c>
      <c r="H18" s="1011">
        <f t="shared" ref="H18:O18" si="10">SUBTOTAL(9,H14:H17)</f>
        <v>0</v>
      </c>
      <c r="I18" s="1013">
        <f t="shared" si="10"/>
        <v>0</v>
      </c>
      <c r="J18" s="1013">
        <f t="shared" si="10"/>
        <v>0</v>
      </c>
      <c r="K18" s="1013">
        <f t="shared" si="10"/>
        <v>0</v>
      </c>
      <c r="L18" s="1013">
        <f t="shared" si="10"/>
        <v>45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1369</v>
      </c>
      <c r="X18" s="1013">
        <f t="shared" si="11"/>
        <v>70</v>
      </c>
      <c r="Y18" s="1014">
        <f t="shared" si="11"/>
        <v>1369</v>
      </c>
      <c r="Z18" s="1014">
        <f t="shared" si="11"/>
        <v>0</v>
      </c>
      <c r="AA18" s="1014">
        <f t="shared" si="11"/>
        <v>2376</v>
      </c>
      <c r="AB18" s="1014">
        <f t="shared" si="11"/>
        <v>216</v>
      </c>
      <c r="AC18" s="1014">
        <f t="shared" si="11"/>
        <v>2592</v>
      </c>
      <c r="AD18" s="1014">
        <f t="shared" si="11"/>
        <v>0</v>
      </c>
      <c r="AE18" s="1018">
        <f t="shared" si="11"/>
        <v>0</v>
      </c>
      <c r="AF18" s="1011">
        <f t="shared" si="11"/>
        <v>0</v>
      </c>
      <c r="AG18" s="1019">
        <f t="shared" si="11"/>
        <v>0</v>
      </c>
      <c r="AH18" s="1016">
        <f t="shared" si="11"/>
        <v>0</v>
      </c>
      <c r="AI18" s="1011">
        <f t="shared" si="11"/>
        <v>195</v>
      </c>
      <c r="AJ18" s="1013">
        <f t="shared" si="11"/>
        <v>0</v>
      </c>
      <c r="AK18" s="1016">
        <f t="shared" si="11"/>
        <v>0</v>
      </c>
      <c r="AL18" s="1020">
        <f>IF(ISNUMBER(NºAsuntos!G18/NºAsuntos!E18),NºAsuntos!G18/NºAsuntos!E18," - ")</f>
        <v>0.95400696864111501</v>
      </c>
      <c r="AM18" s="1020">
        <f>IF(ISNUMBER(((NºAsuntos!I18/NºAsuntos!G18)*11)/factor_trimestre),((NºAsuntos!I18/NºAsuntos!G18)*11)/factor_trimestre," - ")</f>
        <v>5.2067202337472613</v>
      </c>
      <c r="AN18" s="1021">
        <f>IF(ISNUMBER('Resol  Asuntos'!D18/NºAsuntos!G18),'Resol  Asuntos'!D18/NºAsuntos!G18," - ")</f>
        <v>0.14243973703433163</v>
      </c>
      <c r="AO18" s="1022">
        <f>IF(ISNUMBER((NºAsuntos!C18+NºAsuntos!E18)/NºAsuntos!G18),(NºAsuntos!C18+NºAsuntos!E18)/NºAsuntos!G18," - ")</f>
        <v>2.7355734112490868</v>
      </c>
      <c r="AP18" s="1023" t="str">
        <f t="shared" si="2"/>
        <v xml:space="preserve"> - </v>
      </c>
      <c r="AQ18" s="1023">
        <f>IF(ISNUMBER((H18-W18+K18)/(F18)),(H18-W18+K18)/(F18)," - ")</f>
        <v>-0.64362952515279737</v>
      </c>
      <c r="AR18" s="1024">
        <f>IF(ISNUMBER((Datos!P18-Datos!Q18)/(Datos!R18-Datos!P18+Datos!Q18)),(Datos!P18-Datos!Q18)/(Datos!R18-Datos!P18+Datos!Q18)," - ")</f>
        <v>-0.1037344398340249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9</v>
      </c>
      <c r="F19" s="966">
        <f t="shared" si="13"/>
        <v>2225</v>
      </c>
      <c r="G19" s="967">
        <f t="shared" si="13"/>
        <v>2408</v>
      </c>
      <c r="H19" s="966">
        <f t="shared" si="13"/>
        <v>0</v>
      </c>
      <c r="I19" s="968">
        <f t="shared" si="13"/>
        <v>0</v>
      </c>
      <c r="J19" s="968">
        <f t="shared" si="13"/>
        <v>0</v>
      </c>
      <c r="K19" s="1027">
        <f t="shared" si="13"/>
        <v>0</v>
      </c>
      <c r="L19" s="968">
        <f t="shared" si="13"/>
        <v>656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1396</v>
      </c>
      <c r="X19" s="967">
        <f t="shared" si="14"/>
        <v>637</v>
      </c>
      <c r="Y19" s="974">
        <f t="shared" si="14"/>
        <v>1963</v>
      </c>
      <c r="Z19" s="974">
        <f t="shared" si="14"/>
        <v>0</v>
      </c>
      <c r="AA19" s="974">
        <f t="shared" si="14"/>
        <v>2460</v>
      </c>
      <c r="AB19" s="974">
        <f t="shared" si="14"/>
        <v>5505</v>
      </c>
      <c r="AC19" s="974">
        <f t="shared" si="14"/>
        <v>2767</v>
      </c>
      <c r="AD19" s="974">
        <f t="shared" si="14"/>
        <v>0</v>
      </c>
      <c r="AE19" s="976">
        <f t="shared" si="14"/>
        <v>0</v>
      </c>
      <c r="AF19" s="977">
        <f t="shared" si="14"/>
        <v>0</v>
      </c>
      <c r="AG19" s="978">
        <f t="shared" si="14"/>
        <v>0</v>
      </c>
      <c r="AH19" s="976">
        <f t="shared" si="14"/>
        <v>0</v>
      </c>
      <c r="AI19" s="966">
        <f t="shared" si="14"/>
        <v>907</v>
      </c>
      <c r="AJ19" s="966">
        <f t="shared" si="14"/>
        <v>0</v>
      </c>
      <c r="AK19" s="976">
        <f t="shared" si="14"/>
        <v>0</v>
      </c>
      <c r="AL19" s="1030">
        <f>IF(ISNUMBER(NºAsuntos!G19/NºAsuntos!E19),NºAsuntos!G19/NºAsuntos!E19," - ")</f>
        <v>0.85651889058746455</v>
      </c>
      <c r="AM19" s="1031">
        <f>IF(ISNUMBER(((NºAsuntos!I19/NºAsuntos!G19)*11)/factor_trimestre),((NºAsuntos!I19/NºAsuntos!G19)*11)/factor_trimestre," - ")</f>
        <v>5.0889852116267216</v>
      </c>
      <c r="AN19" s="1031">
        <f>IF(ISNUMBER('Resol  Asuntos'!D19/NºAsuntos!G19),'Resol  Asuntos'!D19/NºAsuntos!G19," - ")</f>
        <v>0.2312595614482407</v>
      </c>
      <c r="AO19" s="1032">
        <f>IF(ISNUMBER((NºAsuntos!C19+NºAsuntos!E19)/NºAsuntos!G19),(NºAsuntos!C19+NºAsuntos!E19)/NºAsuntos!G19," - ")</f>
        <v>2.6955634880163184</v>
      </c>
      <c r="AP19" s="1033" t="str">
        <f t="shared" si="2"/>
        <v xml:space="preserve"> - </v>
      </c>
      <c r="AQ19" s="1034">
        <f>IF(OR(ISNUMBER(FIND("01",Criterios!A8,1)),ISNUMBER(FIND("02",Criterios!A8,1)),ISNUMBER(FIND("03",Criterios!A8,1)),ISNUMBER(FIND("04",Criterios!A8,1))),(I19-W19+K19)/(F19-K19),(H19-W19+K19)/(F19-K19))</f>
        <v>-0.62741573033707865</v>
      </c>
      <c r="AR19" s="1035">
        <f>IF(ISNUMBER((Datos!P19-Datos!Q19)/(Datos!R19-Datos!P19+Datos!Q19)),(Datos!P19-Datos!Q19)/(Datos!R19-Datos!P19+Datos!Q19)," - ")</f>
        <v>3.4633612832664965E-3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963.2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2.3452078799117149</v>
      </c>
      <c r="F21" s="256">
        <f>IF(ISNUMBER(STDEV(F8:F18)),STDEV(F8:F18),"-")</f>
        <v>1171.4436961857507</v>
      </c>
      <c r="G21" s="257">
        <f>IF(ISNUMBER(STDEV(G8:G18)),STDEV(G8:G18),"-")</f>
        <v>1148.2764040073278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687.56221536672592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289.04460851966383</v>
      </c>
      <c r="AJ21" s="256">
        <f t="shared" si="18"/>
        <v>0</v>
      </c>
      <c r="AK21" s="258">
        <f t="shared" si="18"/>
        <v>0</v>
      </c>
      <c r="AL21" s="253">
        <f t="shared" si="18"/>
        <v>0.43519352777586384</v>
      </c>
      <c r="AM21" s="254">
        <f t="shared" si="18"/>
        <v>2.2541935752935092</v>
      </c>
      <c r="AN21" s="254">
        <f t="shared" si="18"/>
        <v>0.31892072616494321</v>
      </c>
      <c r="AO21" s="255">
        <f t="shared" si="18"/>
        <v>0.75149862096289188</v>
      </c>
      <c r="AP21" s="295" t="str">
        <f t="shared" si="18"/>
        <v>-</v>
      </c>
      <c r="AQ21" s="296">
        <f t="shared" si="18"/>
        <v>0.26029966821520845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vvpm2AuJuhQQh65eGHYJcHrYx1NYcJXh04Y2QzxqR1pv5TCirC7JZAsSph4whK/qAOMWXouTqoBgMqn4OsHdsg==" saltValue="7rsxDxhmeTJ/8hmgA1Ta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LUGO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276</v>
      </c>
      <c r="O5" s="166"/>
      <c r="P5" s="166"/>
      <c r="Q5" s="175" t="s">
        <v>277</v>
      </c>
      <c r="R5" s="175"/>
      <c r="S5" s="173"/>
      <c r="T5" s="173"/>
    </row>
    <row r="6" spans="2:20" ht="12.75" customHeight="1">
      <c r="B6" s="277"/>
      <c r="C6" s="1424"/>
      <c r="D6" s="1444"/>
      <c r="E6" s="1475"/>
      <c r="F6" s="1472"/>
      <c r="G6" s="1469"/>
      <c r="H6" s="1466"/>
      <c r="I6" s="1441"/>
      <c r="J6" s="1418"/>
      <c r="K6" s="1435"/>
      <c r="M6" s="1479" t="s">
        <v>292</v>
      </c>
      <c r="N6" s="1479" t="s">
        <v>273</v>
      </c>
      <c r="O6" s="1479" t="s">
        <v>274</v>
      </c>
      <c r="P6" s="1479" t="s">
        <v>275</v>
      </c>
      <c r="Q6" s="1479" t="s">
        <v>292</v>
      </c>
      <c r="R6" s="1479" t="s">
        <v>273</v>
      </c>
      <c r="S6" s="1479" t="s">
        <v>274</v>
      </c>
      <c r="T6" s="1479" t="s">
        <v>275</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2.5600000000000001E-2</v>
      </c>
      <c r="I9" s="359">
        <f>IF(ISNUMBER((Tasas!C9-Datos!BE9)/Datos!BE9),(Tasas!C9-Datos!BE9)/Datos!BE9," - ")</f>
        <v>5.4772505881488104E-3</v>
      </c>
      <c r="J9" s="358">
        <f>IF(ISNUMBER((Tasas!D9-Datos!BF9)/Datos!BF9),(Tasas!D9-Datos!BF9)/Datos!BF9," - ")</f>
        <v>-0.22278046618071598</v>
      </c>
      <c r="K9" s="360">
        <f>IF(ISNUMBER((Tasas!E9-Datos!BG9)/Datos!BG9),(Tasas!E9-Datos!BG9)/Datos!BG9," - ")</f>
        <v>4.8088455635474829E-3</v>
      </c>
      <c r="M9" t="e">
        <f>IF(Monitorios="SI",Datos!CE9,0)</f>
        <v>#REF!</v>
      </c>
      <c r="N9" t="e">
        <f>IF(Monitorios="SI",Datos!CF9,0)</f>
        <v>#REF!</v>
      </c>
      <c r="O9" t="e">
        <f>IF(Monitorios="SI",Datos!CG9,0)</f>
        <v>#REF!</v>
      </c>
      <c r="P9" t="e">
        <f>IF(Monitorios="SI",Datos!CH9,0)</f>
        <v>#REF!</v>
      </c>
      <c r="Q9">
        <f>IF(J_V="SI",0,Datos!AG9)</f>
        <v>199</v>
      </c>
      <c r="R9">
        <f>IF(J_V="SI",0,Datos!AH9)</f>
        <v>330</v>
      </c>
      <c r="S9">
        <f>IF(J_V="SI",0,Datos!AI9)</f>
        <v>333</v>
      </c>
      <c r="T9">
        <f>IF(J_V="SI",0,Datos!AJ9)</f>
        <v>198</v>
      </c>
    </row>
    <row r="10" spans="2:20" ht="14.25">
      <c r="B10" s="279" t="s">
        <v>245</v>
      </c>
      <c r="C10" s="7" t="str">
        <f>Datos!A10</f>
        <v>Jdos. Violencia contra la mujer</v>
      </c>
      <c r="D10" s="361">
        <f>IF(ISNUMBER((Datos!I10-Datos!S10)/Datos!S10),(Datos!I10-Datos!S10)/Datos!S10," - ")</f>
        <v>0.11363636363636363</v>
      </c>
      <c r="E10" s="357">
        <f>IF(ISNUMBER((Datos!J10-Datos!T10)/Datos!T10),(Datos!J10-Datos!T10)/Datos!T10," - ")</f>
        <v>-0.48</v>
      </c>
      <c r="F10" s="357">
        <f>IF(ISNUMBER((Datos!K10-Datos!U10)/Datos!U10),(Datos!K10-Datos!U10)/Datos!U10," - ")</f>
        <v>-0.1</v>
      </c>
      <c r="G10" s="358">
        <f>IF(ISNUMBER((Datos!L10-Datos!V10)/Datos!V10),(Datos!L10-Datos!V10)/Datos!V10," - ")</f>
        <v>1.2048192771084338E-2</v>
      </c>
      <c r="H10" s="234">
        <f>IF(ISNUMBER((Datos!M10-Datos!W10)/Datos!W10),(Datos!M10-Datos!W10)/Datos!W10," - ")</f>
        <v>0.58823529411764708</v>
      </c>
      <c r="I10" s="359">
        <f>IF(ISNUMBER((Tasas!C10-Datos!BE10)/Datos!BE10),(Tasas!C10-Datos!BE10)/Datos!BE10," - ")</f>
        <v>0.12449799196787152</v>
      </c>
      <c r="J10" s="358">
        <f>IF(ISNUMBER((Tasas!D10-Datos!BF10)/Datos!BF10),(Tasas!D10-Datos!BF10)/Datos!BF10," - ")</f>
        <v>0.76470588235294124</v>
      </c>
      <c r="K10" s="360">
        <f>IF(ISNUMBER((Tasas!E10-Datos!BG10)/Datos!BG10),(Tasas!E10-Datos!BG10)/Datos!BG10," - ")</f>
        <v>9.1445427728613485E-2</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0.10903426791277258</v>
      </c>
      <c r="I13" s="366">
        <f>IF(ISNUMBER((Tasas!C13-Datos!BE13)/Datos!BE13),(Tasas!C13-Datos!BE13)/Datos!BE13," - ")</f>
        <v>-4.0685769994608351E-2</v>
      </c>
      <c r="J13" s="364">
        <f>IF(ISNUMBER((Tasas!D13-Datos!BF13)/Datos!BF13),(Tasas!D13-Datos!BF13)/Datos!BF13," - ")</f>
        <v>-0.24089969786831153</v>
      </c>
      <c r="K13" s="367">
        <f>IF(ISNUMBER((Tasas!E13-Datos!BG13)/Datos!BG13),(Tasas!E13-Datos!BG13)/Datos!BG13," - ")</f>
        <v>-2.4563423307901421E-2</v>
      </c>
      <c r="M13" t="e">
        <f>IF(Monitorios="SI",Datos!CE13,0)</f>
        <v>#REF!</v>
      </c>
      <c r="N13" t="e">
        <f>IF(Monitorios="SI",Datos!CF13,0)</f>
        <v>#REF!</v>
      </c>
      <c r="O13" t="e">
        <f>IF(Monitorios="SI",Datos!CG13,0)</f>
        <v>#REF!</v>
      </c>
      <c r="P13" t="e">
        <f>IF(Monitorios="SI",Datos!CH13,0)</f>
        <v>#REF!</v>
      </c>
      <c r="Q13">
        <f>IF(J_V="SI",0,Datos!AG13)</f>
        <v>199</v>
      </c>
      <c r="R13">
        <f>IF(J_V="SI",0,Datos!AH13)</f>
        <v>330</v>
      </c>
      <c r="S13">
        <f>IF(J_V="SI",0,Datos!AI13)</f>
        <v>333</v>
      </c>
      <c r="T13">
        <f>IF(J_V="SI",0,Datos!AJ13)</f>
        <v>198</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0.42464835900870729</v>
      </c>
      <c r="E15" s="357">
        <f>IF(ISNUMBER(
   IF(D_I="SI",(Datos!J15-Datos!T15)/Datos!T15,(Datos!J15+Datos!AD15-(Datos!T15+Datos!AL15))/(Datos!T15+Datos!AL15))
     ),IF(D_I="SI",(Datos!J15-Datos!T15)/Datos!T15,(Datos!J15+Datos!AD15-(Datos!T15+Datos!AL15))/(Datos!T15+Datos!AL15))," - ")</f>
        <v>2.4577572964669739E-2</v>
      </c>
      <c r="F15" s="357">
        <f>IF(ISNUMBER(
   IF(D_I="SI",(Datos!K15-Datos!U15)/Datos!U15,(Datos!K15+Datos!AE15-(Datos!U15+Datos!AM15))/(Datos!U15+Datos!AM15))
     ),IF(D_I="SI",(Datos!K15-Datos!U15)/Datos!U15,(Datos!K15+Datos!AE15-(Datos!U15+Datos!AM15))/(Datos!U15+Datos!AM15))," - ")</f>
        <v>6.2978723404255324E-2</v>
      </c>
      <c r="G15" s="358">
        <f>IF(ISNUMBER(
   IF(D_I="SI",(Datos!L15-Datos!V15)/Datos!V15,(Datos!L15+Datos!AF15-(Datos!V15+Datos!AN15))/(Datos!V15+Datos!AN15))
     ),IF(D_I="SI",(Datos!L15-Datos!V15)/Datos!V15,(Datos!L15+Datos!AF15-(Datos!V15+Datos!AN15))/(Datos!V15+Datos!AN15))," - ")</f>
        <v>0.36206896551724138</v>
      </c>
      <c r="H15" s="234">
        <f>IF(ISNUMBER((Datos!M15-Datos!W15)/Datos!W15),(Datos!M15-Datos!W15)/Datos!W15," - ")</f>
        <v>-7.6190476190476197E-2</v>
      </c>
      <c r="I15" s="359">
        <f>IF(ISNUMBER((Tasas!C15-Datos!BE15)/Datos!BE15),(Tasas!C15-Datos!BE15)/Datos!BE15," - ")</f>
        <v>0.28136992352502699</v>
      </c>
      <c r="J15" s="358">
        <f>IF(ISNUMBER((Tasas!D15-Datos!BF15)/Datos!BF15),(Tasas!D15-Datos!BF15)/Datos!BF15," - ")</f>
        <v>-0.13092378664836629</v>
      </c>
      <c r="K15" s="360">
        <f>IF(ISNUMBER((Tasas!E15-Datos!BG15)/Datos!BG15),(Tasas!E15-Datos!BG15)/Datos!BG15," - ")</f>
        <v>0.16491762282813713</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-5.181347150259067E-2</v>
      </c>
      <c r="E17" s="357">
        <f>IF(ISNUMBER(
   IF(D_I="SI",(Datos!J17-Datos!T17)/Datos!T17,(Datos!J17+Datos!AD17-(Datos!T17+Datos!AL17))/(Datos!T17+Datos!AL17))
     ),IF(D_I="SI",(Datos!J17-Datos!T17)/Datos!T17,(Datos!J17+Datos!AD17-(Datos!T17+Datos!AL17))/(Datos!T17+Datos!AL17))," - ")</f>
        <v>-0.16528925619834711</v>
      </c>
      <c r="F17" s="357">
        <f>IF(ISNUMBER(
   IF(D_I="SI",(Datos!K17-Datos!U17)/Datos!U17,(Datos!K17+Datos!AE17-(Datos!U17+Datos!AM17))/(Datos!U17+Datos!AM17))
     ),IF(D_I="SI",(Datos!K17-Datos!U17)/Datos!U17,(Datos!K17+Datos!AE17-(Datos!U17+Datos!AM17))/(Datos!U17+Datos!AM17))," - ")</f>
        <v>5.2631578947368418E-2</v>
      </c>
      <c r="G17" s="358">
        <f>IF(ISNUMBER(
   IF(D_I="SI",(Datos!L17-Datos!V17)/Datos!V17,(Datos!L17+Datos!AF17-(Datos!V17+Datos!AN17))/(Datos!V17+Datos!AN17))
     ),IF(D_I="SI",(Datos!L17-Datos!V17)/Datos!V17,(Datos!L17+Datos!AF17-(Datos!V17+Datos!AN17))/(Datos!V17+Datos!AN17))," - ")</f>
        <v>-0.18</v>
      </c>
      <c r="H17" s="234">
        <f>IF(ISNUMBER((Datos!M17-Datos!W17)/Datos!W17),(Datos!M17-Datos!W17)/Datos!W17," - ")</f>
        <v>-0.83333333333333337</v>
      </c>
      <c r="I17" s="359">
        <f>IF(ISNUMBER((Tasas!C17-Datos!BE17)/Datos!BE17),(Tasas!C17-Datos!BE17)/Datos!BE17," - ")</f>
        <v>-0.22099999999999995</v>
      </c>
      <c r="J17" s="358">
        <f>IF(ISNUMBER((Tasas!D17-Datos!BF17)/Datos!BF17),(Tasas!D17-Datos!BF17)/Datos!BF17," - ")</f>
        <v>-0.84166666666666667</v>
      </c>
      <c r="K17" s="360">
        <f>IF(ISNUMBER((Tasas!E17-Datos!BG17)/Datos!BG17),(Tasas!E17-Datos!BG17)/Datos!BG17," - ")</f>
        <v>-0.14076433121019111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0.37010676156583627</v>
      </c>
      <c r="E18" s="363">
        <f>IF(ISNUMBER(
   IF(D_I="SI",(Datos!J18-Datos!T18)/Datos!T18,(Datos!J18+Datos!AD18-(Datos!T18+Datos!AL18))/(Datos!T18+Datos!AL18))
     ),IF(D_I="SI",(Datos!J18-Datos!T18)/Datos!T18,(Datos!J18+Datos!AD18-(Datos!T18+Datos!AL18))/(Datos!T18+Datos!AL18))," - ")</f>
        <v>8.4328882642304981E-3</v>
      </c>
      <c r="F18" s="363">
        <f>IF(ISNUMBER(
   IF(D_I="SI",(Datos!K18-Datos!U18)/Datos!U18,(Datos!K18+Datos!AE18-(Datos!U18+Datos!AM18))/(Datos!U18+Datos!AM18))
     ),IF(D_I="SI",(Datos!K18-Datos!U18)/Datos!U18,(Datos!K18+Datos!AE18-(Datos!U18+Datos!AM18))/(Datos!U18+Datos!AM18))," - ")</f>
        <v>6.2063615205585725E-2</v>
      </c>
      <c r="G18" s="364">
        <f>IF(ISNUMBER(
   IF(D_I="SI",(Datos!L18-Datos!V18)/Datos!V18,(Datos!L18+Datos!AF18-(Datos!V18+Datos!AN18))/(Datos!V18+Datos!AN18))
     ),IF(D_I="SI",(Datos!L18-Datos!V18)/Datos!V18,(Datos!L18+Datos!AF18-(Datos!V18+Datos!AN18))/(Datos!V18+Datos!AN18))," - ")</f>
        <v>0.30263157894736842</v>
      </c>
      <c r="H18" s="365">
        <f>IF(ISNUMBER((Datos!M18-Datos!W18)/Datos!W18),(Datos!M18-Datos!W18)/Datos!W18," - ")</f>
        <v>-9.7222222222222224E-2</v>
      </c>
      <c r="I18" s="366">
        <f>IF(ISNUMBER((Tasas!C18-Datos!BE18)/Datos!BE18),(Tasas!C18-Datos!BE18)/Datos!BE18," - ")</f>
        <v>0.22650993810311021</v>
      </c>
      <c r="J18" s="364">
        <f>IF(ISNUMBER((Tasas!D18-Datos!BF18)/Datos!BF18),(Tasas!D18-Datos!BF18)/Datos!BF18," - ")</f>
        <v>-0.14997768038308573</v>
      </c>
      <c r="K18" s="367">
        <f>IF(ISNUMBER((Tasas!E18-Datos!BG18)/Datos!BG18),(Tasas!E18-Datos!BG18)/Datos!BG18," - ")</f>
        <v>0.13417630334515052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7.8071595610721356E-2</v>
      </c>
      <c r="E19" s="372">
        <f>IF(ISNUMBER(
   IF(J_V="SI",(Datos!J19-Datos!T19)/Datos!T19,(Datos!J19+Datos!Z19-(Datos!T19+Datos!AH19))/(Datos!T19+Datos!AH19))
     ),IF(J_V="SI",(Datos!J19-Datos!T19)/Datos!T19,(Datos!J19+Datos!Z19-(Datos!T19+Datos!AH19))/(Datos!T19+Datos!AH19))," - ")</f>
        <v>0.23058317656543939</v>
      </c>
      <c r="F19" s="372">
        <f>IF(ISNUMBER(
   IF(J_V="SI",(Datos!K19-Datos!U19)/Datos!U19,(Datos!K19+Datos!AA19-(Datos!U19+Datos!AI19))/(Datos!U19+Datos!AI19))
     ),IF(J_V="SI",(Datos!K19-Datos!U19)/Datos!U19,(Datos!K19+Datos!AA19-(Datos!U19+Datos!AI19))/(Datos!U19+Datos!AI19))," - ")</f>
        <v>0.10790960451977401</v>
      </c>
      <c r="G19" s="373">
        <f>IF(ISNUMBER(
   IF(J_V="SI",(Datos!L19-Datos!V19)/Datos!V19,(Datos!L19+Datos!AB19-(Datos!V19+Datos!AJ19))/(Datos!V19+Datos!AJ19))
     ),IF(J_V="SI",(Datos!L19-Datos!V19)/Datos!V19,(Datos!L19+Datos!AB19-(Datos!V19+Datos!AJ19))/(Datos!V19+Datos!AJ19))," - ")</f>
        <v>0.15603822762814942</v>
      </c>
      <c r="H19" s="374">
        <f>IF(ISNUMBER((Datos!M19-Datos!W19)/Datos!W19),(Datos!M19-Datos!W19)/Datos!W19," - ")</f>
        <v>5.7109557109557112E-2</v>
      </c>
      <c r="I19" s="371">
        <f>IF(ISNUMBER((Tasas!C19-Datos!BE19)/Datos!BE19),(Tasas!C19-Datos!BE19)/Datos!BE19," - ")</f>
        <v>4.3440929577676944E-2</v>
      </c>
      <c r="J19" s="372">
        <f>IF(ISNUMBER((Tasas!D19-Datos!BF19)/Datos!BF19),(Tasas!D19-Datos!BF19)/Datos!BF19," - ")</f>
        <v>-0.21509218837318114</v>
      </c>
      <c r="K19" s="373">
        <f>IF(ISNUMBER((Tasas!E19-Datos!BG19)/Datos!BG19),(Tasas!E19-Datos!BG19)/Datos!BG19," - ")</f>
        <v>2.8264520213121529E-2</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0.22321262641358514</v>
      </c>
      <c r="E21" s="282">
        <f t="shared" si="1"/>
        <v>0.23428926438600353</v>
      </c>
      <c r="F21" s="282">
        <f t="shared" si="1"/>
        <v>7.9749578200219426E-2</v>
      </c>
      <c r="G21" s="283">
        <f t="shared" si="1"/>
        <v>0.25399156175592241</v>
      </c>
      <c r="H21" s="289">
        <f t="shared" si="1"/>
        <v>0.45931148721007453</v>
      </c>
      <c r="I21" s="281">
        <f t="shared" si="1"/>
        <v>0.1859666493852834</v>
      </c>
      <c r="J21" s="282">
        <f t="shared" si="1"/>
        <v>0.51536149461050274</v>
      </c>
      <c r="K21" s="283">
        <f t="shared" si="1"/>
        <v>0.11418075010275207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KzOITu9kwTZBAt6gD0erPy9qLP6BwHO8I5LM/v/xCW3R3vdhLhyz6A6dPPTDMGjikVP7o6c86Wzutuzrnoaug==" saltValue="E4kax8eQ+2otZA9+X0Kb+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